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8265" tabRatio="526" activeTab="0"/>
  </bookViews>
  <sheets>
    <sheet name="1. Паспорт" sheetId="1" r:id="rId1"/>
    <sheet name="2. ЦПЭФ" sheetId="2" r:id="rId2"/>
    <sheet name="3. ЦПЭП" sheetId="3" r:id="rId3"/>
    <sheet name="4. ПП" sheetId="4" r:id="rId4"/>
    <sheet name="5. Производство т.э." sheetId="5" r:id="rId5"/>
    <sheet name="6. Передача т.э." sheetId="6" r:id="rId6"/>
  </sheets>
  <definedNames>
    <definedName name="_xlnm.Print_Area" localSheetId="0">'1. Паспорт'!$A$1:$R$85</definedName>
    <definedName name="_xlnm.Print_Area" localSheetId="2">'3. ЦПЭП'!$A$1:$M$28</definedName>
    <definedName name="_xlnm.Print_Area" localSheetId="4">'5. Производство т.э.'!$A$1:$AS$28</definedName>
    <definedName name="_xlnm.Print_Area" localSheetId="5">'6. Передача т.э.'!$A$1:$AS$43</definedName>
  </definedNames>
  <calcPr fullCalcOnLoad="1"/>
</workbook>
</file>

<file path=xl/sharedStrings.xml><?xml version="1.0" encoding="utf-8"?>
<sst xmlns="http://schemas.openxmlformats.org/spreadsheetml/2006/main" count="830" uniqueCount="270">
  <si>
    <t>Приложение № 5</t>
  </si>
  <si>
    <t>к ПЭиПЭ</t>
  </si>
  <si>
    <t>на период</t>
  </si>
  <si>
    <t>2015-2017</t>
  </si>
  <si>
    <t>годы.</t>
  </si>
  <si>
    <t>№№ мероприятий п/п</t>
  </si>
  <si>
    <t>Ответственный за исполнение мероприятия (ФИО, должность, № телефона)</t>
  </si>
  <si>
    <t>Мероприятие</t>
  </si>
  <si>
    <t>Годы  выполнения</t>
  </si>
  <si>
    <t>месяц окончания выполнения</t>
  </si>
  <si>
    <t>Прогнозный годовой эффект</t>
  </si>
  <si>
    <t>Планируемые затраты, тыс. руб. (без НДС)</t>
  </si>
  <si>
    <t>Источник финансирования</t>
  </si>
  <si>
    <t>Примечания</t>
  </si>
  <si>
    <t xml:space="preserve">Экономия электрической энергии </t>
  </si>
  <si>
    <t>тыс.кВт∙ч/год</t>
  </si>
  <si>
    <t>куб.м./год</t>
  </si>
  <si>
    <t>1.</t>
  </si>
  <si>
    <t>Директор ООО "ВТКК" Иванов И.Г. (по согласованию), (34357) 2-23-35</t>
  </si>
  <si>
    <t>декабрь</t>
  </si>
  <si>
    <t>амортизация</t>
  </si>
  <si>
    <t>2.</t>
  </si>
  <si>
    <t>Начальник ОРТПиР Бавыкин С.Б., тел.(34357) 2-23-66, Начальник ПТО Данилов В.Ю., тел.(34357) 2-23-65</t>
  </si>
  <si>
    <t>Установка частотно-регулируемых приводов на насосное оборудование тепло и водоснабжения</t>
  </si>
  <si>
    <t>сентябрь</t>
  </si>
  <si>
    <t>3.</t>
  </si>
  <si>
    <t>Начальник ОРТПиР Бавыкин С.Б., тел.(34357) 2-23-66 Начальник ЦАСУ Головин А.В., (34357) 2-23-85</t>
  </si>
  <si>
    <t>4.</t>
  </si>
  <si>
    <t>5.</t>
  </si>
  <si>
    <t>-</t>
  </si>
  <si>
    <t xml:space="preserve">Экономия тепловой энергии </t>
  </si>
  <si>
    <t>Гкал/год</t>
  </si>
  <si>
    <t>Экономия топлива</t>
  </si>
  <si>
    <t>тут/год</t>
  </si>
  <si>
    <t>Экономия теплоносителя</t>
  </si>
  <si>
    <t>тыс.руб.</t>
  </si>
  <si>
    <t>Общий экономический эффект, 
тыс. руб (без НДС)</t>
  </si>
  <si>
    <t>Начальник ОРТПиР Бавыкин С.Б., тел.(34357) 2-23-66 Начальник КТЦ-2 Здоровцев А.С, (34357) 2-22-80</t>
  </si>
  <si>
    <t>2014-2016</t>
  </si>
  <si>
    <t>ИТОГО по мероприятиям по производству тепловой энергии:</t>
  </si>
  <si>
    <t>Техперевооружение V очереди с переносом тепловой нагрузки на турбины К-205/130 ст.№9,10,11</t>
  </si>
  <si>
    <t>Обеспечение работы в межотопительный сезон одного сетевого насоса.</t>
  </si>
  <si>
    <t>начальник КТЦ-1 Балкин А.М. (34357) 2-23-80, начальник ПТО Данилов В.Ю. (34357) 2-23-65</t>
  </si>
  <si>
    <t>май-сентябрь</t>
  </si>
  <si>
    <t>2014-2015</t>
  </si>
  <si>
    <t>с 2016г. эффекта нет в связи с вывод из эксплуатации I-III очереди</t>
  </si>
  <si>
    <t>постоянно</t>
  </si>
  <si>
    <t>Зам.главного инженера по эксплуатации Швецов А.В., (34357)2-23-61, Начальник КТЦ-1 Балкин А.М., (34357) 2-23-80</t>
  </si>
  <si>
    <t>Поддержание температуры теплоносителя в строгом соответствии с температурным графиком для исключения "перетопов"</t>
  </si>
  <si>
    <t>План мероприятий по производству тепловой энергии и поставки теплоносителя программы ПЭиПЭ</t>
  </si>
  <si>
    <t>План мероприятий по передаче тепловой энергии и теплоносителя программы ПЭиПЭ</t>
  </si>
  <si>
    <t>не требуется</t>
  </si>
  <si>
    <t>Модернизация магистральных мазутопроводов и паропроводов №1, 2</t>
  </si>
  <si>
    <t>Организация автоматизированной системы учета тепла на многоквартирные жилые дома (от 2 этажей) с организацией передачей данных с узлов учета тепла на место оператора для обработки и хранения</t>
  </si>
  <si>
    <t>Оптимизация работы насосного оборудования станции подмешивания 20 квартала</t>
  </si>
  <si>
    <t>Ремонт трубы № 1 теплотрассы Ду-600 мм с заменой тепловой изоляции на участке от УТ-1 до УТ-3</t>
  </si>
  <si>
    <t>Начальник ОППР Бавыкин С.Б., тел.(34357) 2-23-66 Начальник КТЦ-1 Балкин А.М., (34357) 2-23-80</t>
  </si>
  <si>
    <t>Ремонт трубы № 2 теплотрассы Ду-600 мм с заменой тепловой изоляции на участке от УТ-1 до УТ-3</t>
  </si>
  <si>
    <t>Приложение № 3</t>
  </si>
  <si>
    <t>Целевые показатели эффективности выполнения программы ПЭиПЭ</t>
  </si>
  <si>
    <t>Вид деятельности</t>
  </si>
  <si>
    <t>Ожидаемый эффект от реализации ПЭиПЭ</t>
  </si>
  <si>
    <t>Планируемые затраты на реализацию, тыс. руб. (без НДС)</t>
  </si>
  <si>
    <t>Натуральный</t>
  </si>
  <si>
    <t>Стоимостной</t>
  </si>
  <si>
    <t>тыс. кВтч</t>
  </si>
  <si>
    <t>2014 (Ожидаемые показатели)</t>
  </si>
  <si>
    <t>2015 (ЦПЭП)</t>
  </si>
  <si>
    <t>2016 (ЦПЭП)</t>
  </si>
  <si>
    <t>2017 (ЦПЭП)</t>
  </si>
  <si>
    <t>Производство т/э</t>
  </si>
  <si>
    <t>Передача т/э</t>
  </si>
  <si>
    <t>Общий экономический эффект,
тыс. руб (без НДС)</t>
  </si>
  <si>
    <t>Снижение удельного расхода топлива на отпуск т/э, кг/Гкал</t>
  </si>
  <si>
    <t>Снижение удельного расхода э/э, кВт∙ч/Гкал</t>
  </si>
  <si>
    <t>Приложение № 2</t>
  </si>
  <si>
    <t>Целевые показатели энергоэффективности функционирования программы ПЭиПЭ</t>
  </si>
  <si>
    <t>Удельный расход электроэнергии</t>
  </si>
  <si>
    <t>%</t>
  </si>
  <si>
    <t>план (без ПЭиПЭ)</t>
  </si>
  <si>
    <t>цель (с учетом ПЭиПЭ)</t>
  </si>
  <si>
    <t>доля ПЭиПЭ</t>
  </si>
  <si>
    <t>2015 (ЦПЭФ)</t>
  </si>
  <si>
    <t>2016 (ЦПЭФ)</t>
  </si>
  <si>
    <t>2017 (ЦПЭФ)</t>
  </si>
  <si>
    <t>Удельный расход топлива на отпуск тепловой энергии</t>
  </si>
  <si>
    <t>кг/Гкал</t>
  </si>
  <si>
    <t xml:space="preserve">Удельный расход реагентов, используемых для подготовки теплоносителя </t>
  </si>
  <si>
    <t>г/м3</t>
  </si>
  <si>
    <t>Динамика величины потерь тепловой энергии при ее передаче</t>
  </si>
  <si>
    <t>Динамика величины фактического объема потерь теплоносителя при его передаче</t>
  </si>
  <si>
    <t>Сокращение выбросов вредных веществ в атмосферу</t>
  </si>
  <si>
    <t>тн</t>
  </si>
  <si>
    <t>Сокращение выбросов парниковых газов (СО2 эквивалента)</t>
  </si>
  <si>
    <t xml:space="preserve"> № п/п</t>
  </si>
  <si>
    <t xml:space="preserve">Отпуск (по приборам учета) </t>
  </si>
  <si>
    <t>Расходы на материалы по подъему ПВ в т.ч.:</t>
  </si>
  <si>
    <t>Антрацит</t>
  </si>
  <si>
    <t>Сульфоуголь</t>
  </si>
  <si>
    <t>тыс.Гкал</t>
  </si>
  <si>
    <t>тыс. тут</t>
  </si>
  <si>
    <t>кВтч/Гкал</t>
  </si>
  <si>
    <t>Отпуск тепловой энергии с коллекторов</t>
  </si>
  <si>
    <t>тыс. Гкал</t>
  </si>
  <si>
    <t>Расход тепловой энергии на производственные и хозяйственные нужды</t>
  </si>
  <si>
    <t>Отпуск тепловой энергии в тепловую сеть</t>
  </si>
  <si>
    <t>Расход топлива на выработку тепловой энергии</t>
  </si>
  <si>
    <t>Удельный расход топлива на выработку тепловой энергии</t>
  </si>
  <si>
    <t>Расход э/э на выработку тепловой энергии</t>
  </si>
  <si>
    <t>Удельный расход э/э на выработку тепловой энергии</t>
  </si>
  <si>
    <t>Производство т/э и теплоносителя</t>
  </si>
  <si>
    <t>Передача т/э и теплоносителя</t>
  </si>
  <si>
    <t>Тепловые потери при транспортировке</t>
  </si>
  <si>
    <t>Полезный отпуск тепловой энергии</t>
  </si>
  <si>
    <t>Расход прямой сетевой воды</t>
  </si>
  <si>
    <t>Отпуск теплоносителя в сеть</t>
  </si>
  <si>
    <t>Полезный отпуск теплоносителя</t>
  </si>
  <si>
    <t>Потери теплоносителя при транспортировке</t>
  </si>
  <si>
    <t>Расход обратной сетевой воды</t>
  </si>
  <si>
    <t>тыс.куб.м.</t>
  </si>
  <si>
    <t>Затраты э/э на транспортировку теплоэнергии и теплоносителя</t>
  </si>
  <si>
    <t>Ед.изм.</t>
  </si>
  <si>
    <t>Удельный расход э/э на транспортировку тепловой энергии и теплоносителя</t>
  </si>
  <si>
    <t>кВт∙ч/Гкал</t>
  </si>
  <si>
    <t>6.</t>
  </si>
  <si>
    <t>Приложение № 1</t>
  </si>
  <si>
    <t>Паспорт Программы энергосбережения и повышения энергетической эффективности (ПЭиПЭ)</t>
  </si>
  <si>
    <t>Наименование ПЭиПЭ</t>
  </si>
  <si>
    <t>Участники ПЭиПЭ</t>
  </si>
  <si>
    <t>Основания для разработки ПЭиПЭ</t>
  </si>
  <si>
    <t>Куратор ПЭиПЭ</t>
  </si>
  <si>
    <t>Ответственные исполнители ПЭиПЭ</t>
  </si>
  <si>
    <t>Основные разделы Пояснительной записки ПЭиПЭ</t>
  </si>
  <si>
    <t>Основные Приложения ПЭиПЭ</t>
  </si>
  <si>
    <t>Цели ПЭиПЭ</t>
  </si>
  <si>
    <t>Задачи ПЭиПЭ</t>
  </si>
  <si>
    <t>• Реализация инвестиционных мероприятий, направленных на энергосбережение и повышение энергетической эффективности.
• Реализация организационных мероприятий по энергосбережению и повышению энергетической эффективности.
• Совершенствование систем учета энергетических ресурсов.
• Реализация мероприятий ремонтного и эксплуатационного характера, направленных на энергосбережение и повышение эффективности использования энергетических ресурсов.</t>
  </si>
  <si>
    <t>Сценарные условия</t>
  </si>
  <si>
    <t>Показатель</t>
  </si>
  <si>
    <t>Ед. изм.</t>
  </si>
  <si>
    <t>Сроки и этапы выполнения</t>
  </si>
  <si>
    <t>Планируемые затраты на реализацию ПЭиПЭ, тыс. руб.</t>
  </si>
  <si>
    <t>Основные источники финансирования программы</t>
  </si>
  <si>
    <t>Система отчетности</t>
  </si>
  <si>
    <t>филиала "Верхнетагильская ГРЭС" ОАО "ИНТЕР РАО - Электрогенерация"</t>
  </si>
  <si>
    <t>по производству, передаче и сбыту тепловой энергии, поставке и передаче теплоносителя</t>
  </si>
  <si>
    <t>• Филиал «Верхнетагильская ГРЭС» ОАО «ИНТЕР РАО – Электрогенерация»;
• ООО «Верхнетагильская коммунальная компания» (по согласованию).</t>
  </si>
  <si>
    <t>• Федеральный закон Российской Федерации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Федерации».
• Постановление Правительства Российской Федерации от 08.07.1997 г. № 832 «О повышении эффективности использования энергетических ресурсов и воды предприятиями, учреждениями и организациями бюджетной сферы».
• Постановление Правительства Российской Федерации от 15.06.1998 г. № 588 «О дополнительных мерах по стимулированию энергосбережения в России».
• Областной закон от 25.12.2009 № 117-ОЗ «Об энергосбережении и повышении энергетической эффективности на территории Свердловской области».
• Постановление Правительства Российской Федерации от 15.05.2010 г. № 340 «О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деятельности».
• Постановление Правительства Свердловской области от 24.03.2010 № 472-ПП «О Региональной программе по энергосбережению и повышению энергетической эффективности Свердловской области на 2010-2015 годы и целевых установках на период до 2020 года».
• Постановление Правительства Свердловской области от 11.10.2010 № 1486-ПП «Об утверждении областной целевой программы «Энергосбережение в Свердловской области» на 2011-2015 годы».
• Постановление Региональной энергетической комиссии Свердловской области от 25.08.2010 № 100-ПК «Об утверждении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 на территории Свердловской области».
• Постановление Региональной энергетической комиссии Свердловской области от 14.12.2011№ 190-ПК «Об утверждении форм отчетов о фактическом исполнении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 на территории Свердловской области, на 2011 – 2013 годы».
• Приказ по Группе ИНТЕР РАО ЕЭС от 25.06.2010 г. № ИРАО/441 «О реализации федерального закона по энергоэффективности и Программы энергосбережения и повышения энергоэффективности Общества».
• Приказ по Группе ИНТЕР РАО ЕЭС от 16.11.2010 г. № ИРАО/846 «Об утверждении ЛНА в области энергосбережения и повышения энергоэффективности» («Положение о системе управления энергоэффективностью и энергосбережением» и Регламент бизнес-процесса разработки, мониторинга и анализа Программы энергосбережения и повышения энергоэффективности»).
• Приказ по Группе ИНТЕР РАО ЕЭС от 07.10.2011 г. № ИРАО/631 «Об утверждении ЛНА по Функциональному направлению энергоэффективность и энергосбережение» (Политика по управлению энергосбережением и энергоэффективностью).
• При формировании Программы в случае выхода новых документов либо отмене действия  указанных выше документов, должны быть внесены соответствующие изменения в данный перечень документов.</t>
  </si>
  <si>
    <t>Ведущий инженер по инновациям и энергетической эффективности - Корчагин Иван Юрьевич, тел.(34357) 2-22-65</t>
  </si>
  <si>
    <t>Ф.И.О.</t>
  </si>
  <si>
    <t>Наименование должности</t>
  </si>
  <si>
    <t>Контактная информация</t>
  </si>
  <si>
    <t>Основные функции и обязанности по обеспечению мероприятий</t>
  </si>
  <si>
    <t>Чувашёв Анатолий Анатольевич</t>
  </si>
  <si>
    <t>Главный инженер</t>
  </si>
  <si>
    <t>тел.(34357) 2-23-51</t>
  </si>
  <si>
    <t>ответственный за мероприятия по энергосбережению по Филиалу</t>
  </si>
  <si>
    <t>Шниперова Ольга Анатольевна</t>
  </si>
  <si>
    <t>Заместитель директора по ресурсам и административному управлению</t>
  </si>
  <si>
    <t>тел.(34357) 2-23-45</t>
  </si>
  <si>
    <t>ответственный за организацию закупок мероприятий по энергосбережению по Филиалу</t>
  </si>
  <si>
    <t>Бавыкина Валентина Викторовна</t>
  </si>
  <si>
    <t>Заместитель директора по экономике и финансам</t>
  </si>
  <si>
    <t>тел.(34357) 2-23-55</t>
  </si>
  <si>
    <t>ответственный за организацию работ по расчёту экономического эффекта мероприятий по энергосбережению по Филиалу</t>
  </si>
  <si>
    <t>Швецов Андрей Владимирович</t>
  </si>
  <si>
    <t>Заместитель главного инженера по эксплуатации</t>
  </si>
  <si>
    <t>тел.(34357) 2-23-61</t>
  </si>
  <si>
    <t>ответственный за эксплуатационные мероприятия</t>
  </si>
  <si>
    <t>Козицын Александр Алексеевич</t>
  </si>
  <si>
    <t>Заместитель главного инженера по ремонту</t>
  </si>
  <si>
    <t>тел.(34357) 2-23-62</t>
  </si>
  <si>
    <t>ответственный за ремонтные мероприятия и ТПиР</t>
  </si>
  <si>
    <t>Данилов Валерий Юрьевич</t>
  </si>
  <si>
    <t>Начальник ПТО</t>
  </si>
  <si>
    <t>тел.(34357) 2-23-65</t>
  </si>
  <si>
    <t xml:space="preserve">ответственный за подготовку технических расчётов по экономическому эффекту мероприятий программы энергосбережения по Филиалу </t>
  </si>
  <si>
    <t>Бавыкин Сергей Борисович</t>
  </si>
  <si>
    <t>Начальник ОРТПиР</t>
  </si>
  <si>
    <t>тел.(34357) 2-23-66</t>
  </si>
  <si>
    <t>Корчагин Иван Юрьевич</t>
  </si>
  <si>
    <t>Ведущий инженер по инновациям и энергетической эффективности</t>
  </si>
  <si>
    <t>тел.(34357) 2-22-65</t>
  </si>
  <si>
    <t>ответственный за формирование и корректировку ПЭиПЭ и отчётов о ходе исполнения программы по Филиалу</t>
  </si>
  <si>
    <t>Сергеева Ольга Николаевна</t>
  </si>
  <si>
    <t>Начальник ПЭО</t>
  </si>
  <si>
    <t>тел.(34357) 2-22-85</t>
  </si>
  <si>
    <t>ответственный за подготовку расчётов экономического эффекта по мероприятиям программы энергосбережения по Филиалу</t>
  </si>
  <si>
    <t>Коробков Илья Анатольевич</t>
  </si>
  <si>
    <t>Заместитель начальника ПТО</t>
  </si>
  <si>
    <t>ответственный за отчётные данные по ТЭП в результате реализации мероприятий программы энергосбережения по Филиалу</t>
  </si>
  <si>
    <t>Балкин Александр Михайлович</t>
  </si>
  <si>
    <t>Начальник КТЦ-1</t>
  </si>
  <si>
    <t>тел.(34357) 2-23-80</t>
  </si>
  <si>
    <t>ответственный за выполнение мероприятий по КТЦ-1</t>
  </si>
  <si>
    <t>Здоровцев Андрей Сергеевич</t>
  </si>
  <si>
    <t>Начальник КТЦ-2</t>
  </si>
  <si>
    <t>тел.(34357) 2-22-80</t>
  </si>
  <si>
    <t>ответственный за выполнение мероприятий по КТЦ-2</t>
  </si>
  <si>
    <t>Никитинский Александр Николаевич</t>
  </si>
  <si>
    <t>Начальник ЭЦ</t>
  </si>
  <si>
    <t>тел.(34357) 2-23-73</t>
  </si>
  <si>
    <t>ответственный за выполнение мероприятий по ЭЦ</t>
  </si>
  <si>
    <t>Бородулина Ирина Николаевна</t>
  </si>
  <si>
    <t>Начальник ХЦ</t>
  </si>
  <si>
    <t>тел.(34357) 2-23-88</t>
  </si>
  <si>
    <t>ответственный за выполнение мероприятий по ХЦ</t>
  </si>
  <si>
    <t>Головин Андрей Вениаминович</t>
  </si>
  <si>
    <t>Начальник ЦАСУ</t>
  </si>
  <si>
    <t>тел.(34357) 2-23-85</t>
  </si>
  <si>
    <t>ответственный за выполнение мероприятий по ЦАСУ и обеспечение требуемой НТД точности показаний штатных приборов</t>
  </si>
  <si>
    <t>Иванов Игорь Геннадьевич</t>
  </si>
  <si>
    <t>Директор ООО «ВТКК»</t>
  </si>
  <si>
    <t>тел.(34357) 2-23-35</t>
  </si>
  <si>
    <t>ответственный за выполнение организационных мероприятий по тепловым сетям Филиала (по согласованию)</t>
  </si>
  <si>
    <t xml:space="preserve">1. Нормативные ссылки 
2. Термины, определения и сокращения
3. Общие сведения
4. Анализ текущего состояния
5. Сценарные условия и исходные данные
6. Основные целевые показатели программы
7. Мероприятия программы
</t>
  </si>
  <si>
    <t>I. Паспорт ПЭиПЭ.
II. Целевые показатели энергоэффективности функционирования.
III. Целевые показатели эффективности реализации ПЭиПЭ.
IV. Прогноз основных показателей деятельности.
V. План мероприятий по производству тепловой энергии и теплоносителя.
VI. План мероприятий по передаче тепловой энергии и теплоносителя.</t>
  </si>
  <si>
    <t>• реализация основных положений Энергетической стратегии России и Государственной программы Российской Федерации «Энергоэффективность и развитие энергетики»;
• достижение целевых показателей в области энергосбережения и повышения энергоэффективности, предусмотренных Программой инновационного развития Группы «Интер РАО» на 2012-2016 годы с перспективой до 2020 года; 
• обеспечение рационального использования энергетических ресурсов за счет реализации мероприятий по энергосбережению и повышению энергоэффективности;
• улучшение показателей энергоэффективности всех Филиалов в отдельности и Общества в целом при минимизации затрат на функционирование и развитие;
• формирование и совершенствование целостной и эффективной системы управления энергосбережением и повышением энергоэффективности; 
• развитие системы энергетического менеджмента;
• снижение негативного воздействия на окружающую среду.</t>
  </si>
  <si>
    <t>Амортизационные отчисления</t>
  </si>
  <si>
    <t>Отчетный период - полугодие. Оформляются отчеты за первое полугодие и год.</t>
  </si>
  <si>
    <t>Целевые показатели эффективности выполнения ПЭиПЭ (ЦПЭП)</t>
  </si>
  <si>
    <t>Целевые показатели эффективности функционирования (ЦПЭФ)</t>
  </si>
  <si>
    <t>Период</t>
  </si>
  <si>
    <t>Снижение удельного расхода э/э</t>
  </si>
  <si>
    <t>Общий экономический эффект</t>
  </si>
  <si>
    <t>тыс. руб (без НДС)</t>
  </si>
  <si>
    <t>Снижение удельного расхода топлива на отпуск т/э</t>
  </si>
  <si>
    <t>Расходы на химреагенты (ИОМС-1) на подготовку ПВ</t>
  </si>
  <si>
    <t>Стоимость электроэнергии</t>
  </si>
  <si>
    <t>руб/кВтч</t>
  </si>
  <si>
    <t>Стоимость условного топлива</t>
  </si>
  <si>
    <t>руб/тут</t>
  </si>
  <si>
    <t>Стоимость теплоносителя</t>
  </si>
  <si>
    <t>годы</t>
  </si>
  <si>
    <t>Приложение № 4</t>
  </si>
  <si>
    <t>Прогноз основных показателей деятельности</t>
  </si>
  <si>
    <t>Приложение № 6</t>
  </si>
  <si>
    <t>Приложение № 4 (продолжение)</t>
  </si>
  <si>
    <t>Приложение № 5 (продолжение)</t>
  </si>
  <si>
    <t>Приложение № 6 (продолжение)</t>
  </si>
  <si>
    <t>2014-2017</t>
  </si>
  <si>
    <t>на период с 2014 по 2017 годы</t>
  </si>
  <si>
    <t>Программа энергосбережения и повышения энергетической эффективности по производству, передаче и сбыту тепловой энергии, поставке и передаче теплоносителя филиала "Верхнетагильская ГРЭС" ОАО "ИНТЕР РАО - Электрогенерация" на период 2014-2017 годы.</t>
  </si>
  <si>
    <t>Экономия электрической энергии</t>
  </si>
  <si>
    <t>Экономический эффект       (2*3)=4</t>
  </si>
  <si>
    <t>тыс.кВтч/год</t>
  </si>
  <si>
    <t>№2</t>
  </si>
  <si>
    <t>№3</t>
  </si>
  <si>
    <t>Общий экономический эффект(тыс.руб без НДС)</t>
  </si>
  <si>
    <t>тыс.руб</t>
  </si>
  <si>
    <t>Экономия тепловой энергии</t>
  </si>
  <si>
    <t>№1</t>
  </si>
  <si>
    <t>Стоимость топлива</t>
  </si>
  <si>
    <t>Экономический эффект     5*6*7=8</t>
  </si>
  <si>
    <t>№4</t>
  </si>
  <si>
    <t>№5</t>
  </si>
  <si>
    <t>№6</t>
  </si>
  <si>
    <t>Общий экономический эффект(тыс.руб без НДС)              4+8=9</t>
  </si>
  <si>
    <t>Итого  экономический эффект(тыс.руб без НДС)</t>
  </si>
  <si>
    <t>Экономический эффект     9*10=11</t>
  </si>
  <si>
    <t>Общий экономический эффект(тыс.руб без НДС)              4+8+11=12</t>
  </si>
  <si>
    <t>руб/м3</t>
  </si>
  <si>
    <t>За четыре года</t>
  </si>
  <si>
    <t>За 4 года</t>
  </si>
  <si>
    <t>ИТОГО за четыре года</t>
  </si>
  <si>
    <t xml:space="preserve">Пример расчета экономического эффекта </t>
  </si>
  <si>
    <t>Экономический эффект
2*3*4=5</t>
  </si>
  <si>
    <t>Экономический эффект
5*6*7=8</t>
  </si>
  <si>
    <t>Общий экономический эффект(тыс.руб без НДС)
4+8=9</t>
  </si>
  <si>
    <t>Экономический эффект
(2*3)=4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</si>
</sst>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419]mmmm\ yyyy;@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vertAlign val="superscript"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dotted"/>
      <bottom/>
    </border>
    <border>
      <left/>
      <right style="thin"/>
      <top style="thin"/>
      <bottom style="dotted"/>
    </border>
    <border>
      <left style="thin"/>
      <right style="dotted"/>
      <top style="dotted"/>
      <bottom style="dotted"/>
    </border>
    <border>
      <left style="thin"/>
      <right/>
      <top style="thin"/>
      <bottom style="thin"/>
    </border>
    <border>
      <left style="dotted"/>
      <right/>
      <top style="thin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dotted"/>
      <bottom style="thin"/>
    </border>
    <border>
      <left style="thin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/>
      <right/>
      <top style="dotted"/>
      <bottom style="thin"/>
    </border>
    <border>
      <left style="medium"/>
      <right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dotted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/>
      <bottom style="medium"/>
    </border>
    <border>
      <left style="thick"/>
      <right style="thick"/>
      <top style="medium"/>
      <bottom style="medium"/>
    </border>
    <border>
      <left style="thin"/>
      <right style="thin"/>
      <top style="medium"/>
      <bottom style="thin"/>
    </border>
    <border>
      <left style="thick"/>
      <right style="thick"/>
      <top style="medium"/>
      <bottom style="thick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dotted"/>
      <bottom style="medium"/>
    </border>
    <border>
      <left style="dotted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 style="thick"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/>
      <right style="thick"/>
      <top style="medium"/>
      <bottom/>
    </border>
    <border>
      <left/>
      <right style="thick"/>
      <top/>
      <bottom/>
    </border>
    <border>
      <left/>
      <right/>
      <top style="medium"/>
      <bottom style="thin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/>
    </border>
    <border>
      <left/>
      <right style="thick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thick"/>
      <top style="thin"/>
      <bottom style="medium"/>
    </border>
    <border>
      <left/>
      <right style="thick"/>
      <top style="dotted"/>
      <bottom style="thin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/>
      <right style="thick"/>
      <top style="dotted"/>
      <bottom style="medium"/>
    </border>
    <border>
      <left style="thick"/>
      <right style="thick"/>
      <top style="thin"/>
      <bottom/>
    </border>
    <border>
      <left style="thick"/>
      <right/>
      <top style="thin"/>
      <bottom style="dotted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/>
      <top style="dotted"/>
      <bottom style="medium"/>
    </border>
    <border>
      <left/>
      <right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 style="thin"/>
      <bottom/>
    </border>
    <border>
      <left/>
      <right style="thick"/>
      <top style="thin"/>
      <bottom style="dotted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dotted"/>
    </border>
    <border>
      <left style="thick"/>
      <right style="thin"/>
      <top style="medium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/>
      <bottom style="medium"/>
    </border>
    <border>
      <left/>
      <right style="thick"/>
      <top/>
      <bottom style="medium"/>
    </border>
    <border>
      <left/>
      <right style="thick"/>
      <top style="thin"/>
      <bottom style="medium"/>
    </border>
    <border>
      <left style="thin"/>
      <right style="thick"/>
      <top style="dotted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0" borderId="20" xfId="0" applyFont="1" applyBorder="1" applyAlignment="1" applyProtection="1">
      <alignment horizontal="left" vertical="top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1" fontId="5" fillId="0" borderId="20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4" fontId="4" fillId="33" borderId="27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 locked="0"/>
    </xf>
    <xf numFmtId="4" fontId="5" fillId="0" borderId="18" xfId="0" applyNumberFormat="1" applyFont="1" applyBorder="1" applyAlignment="1" applyProtection="1">
      <alignment horizontal="center" vertical="center" wrapText="1"/>
      <protection locked="0"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" fontId="4" fillId="34" borderId="29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left" vertical="top" wrapText="1"/>
      <protection locked="0"/>
    </xf>
    <xf numFmtId="4" fontId="4" fillId="34" borderId="13" xfId="0" applyNumberFormat="1" applyFont="1" applyFill="1" applyBorder="1" applyAlignment="1">
      <alignment horizontal="center" vertical="center"/>
    </xf>
    <xf numFmtId="0" fontId="5" fillId="0" borderId="19" xfId="53" applyFont="1" applyFill="1" applyBorder="1" applyAlignment="1" applyProtection="1">
      <alignment vertical="top" wrapText="1"/>
      <protection locked="0"/>
    </xf>
    <xf numFmtId="0" fontId="5" fillId="0" borderId="20" xfId="53" applyFont="1" applyFill="1" applyBorder="1" applyAlignment="1" applyProtection="1">
      <alignment vertical="top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4" fontId="5" fillId="0" borderId="32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32" xfId="55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56" applyNumberFormat="1" applyFont="1" applyFill="1" applyAlignment="1" applyProtection="1">
      <alignment horizontal="center" vertical="center"/>
      <protection/>
    </xf>
    <xf numFmtId="4" fontId="4" fillId="34" borderId="15" xfId="0" applyNumberFormat="1" applyFont="1" applyFill="1" applyBorder="1" applyAlignment="1">
      <alignment horizontal="center" vertical="center"/>
    </xf>
    <xf numFmtId="4" fontId="4" fillId="34" borderId="25" xfId="0" applyNumberFormat="1" applyFont="1" applyFill="1" applyBorder="1" applyAlignment="1">
      <alignment horizontal="center" vertical="center"/>
    </xf>
    <xf numFmtId="4" fontId="5" fillId="0" borderId="0" xfId="58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left" vertical="center" wrapText="1"/>
    </xf>
    <xf numFmtId="4" fontId="3" fillId="35" borderId="45" xfId="0" applyNumberFormat="1" applyFont="1" applyFill="1" applyBorder="1" applyAlignment="1">
      <alignment horizontal="center" vertical="center" wrapText="1"/>
    </xf>
    <xf numFmtId="4" fontId="3" fillId="35" borderId="46" xfId="0" applyNumberFormat="1" applyFont="1" applyFill="1" applyBorder="1" applyAlignment="1">
      <alignment horizontal="center" vertical="center" wrapText="1"/>
    </xf>
    <xf numFmtId="4" fontId="3" fillId="35" borderId="47" xfId="0" applyNumberFormat="1" applyFont="1" applyFill="1" applyBorder="1" applyAlignment="1">
      <alignment horizontal="center" vertical="center" wrapText="1"/>
    </xf>
    <xf numFmtId="4" fontId="3" fillId="35" borderId="48" xfId="0" applyNumberFormat="1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left" vertical="center" wrapText="1"/>
    </xf>
    <xf numFmtId="4" fontId="4" fillId="35" borderId="50" xfId="0" applyNumberFormat="1" applyFont="1" applyFill="1" applyBorder="1" applyAlignment="1">
      <alignment horizontal="center" vertical="center" wrapText="1"/>
    </xf>
    <xf numFmtId="4" fontId="4" fillId="35" borderId="51" xfId="0" applyNumberFormat="1" applyFont="1" applyFill="1" applyBorder="1" applyAlignment="1">
      <alignment horizontal="center" vertical="center" wrapText="1"/>
    </xf>
    <xf numFmtId="4" fontId="4" fillId="35" borderId="52" xfId="0" applyNumberFormat="1" applyFont="1" applyFill="1" applyBorder="1" applyAlignment="1">
      <alignment horizontal="center" vertical="center" wrapText="1"/>
    </xf>
    <xf numFmtId="4" fontId="4" fillId="35" borderId="53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 horizontal="right"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horizontal="right" vertical="top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left" vertical="top"/>
    </xf>
    <xf numFmtId="0" fontId="57" fillId="0" borderId="0" xfId="0" applyFont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top"/>
      <protection locked="0"/>
    </xf>
    <xf numFmtId="0" fontId="58" fillId="0" borderId="0" xfId="0" applyFont="1" applyBorder="1" applyAlignment="1">
      <alignment horizontal="right" vertical="top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left" vertical="top"/>
    </xf>
    <xf numFmtId="0" fontId="57" fillId="0" borderId="54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Fill="1" applyBorder="1" applyAlignment="1">
      <alignment horizontal="left" vertical="center" wrapText="1"/>
    </xf>
    <xf numFmtId="4" fontId="57" fillId="0" borderId="58" xfId="0" applyNumberFormat="1" applyFont="1" applyFill="1" applyBorder="1" applyAlignment="1">
      <alignment horizontal="center" vertical="center" wrapText="1"/>
    </xf>
    <xf numFmtId="4" fontId="57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57" fillId="0" borderId="59" xfId="0" applyNumberFormat="1" applyFont="1" applyFill="1" applyBorder="1" applyAlignment="1" applyProtection="1">
      <alignment horizontal="center" vertical="center" wrapText="1"/>
      <protection/>
    </xf>
    <xf numFmtId="4" fontId="57" fillId="0" borderId="60" xfId="0" applyNumberFormat="1" applyFont="1" applyFill="1" applyBorder="1" applyAlignment="1" applyProtection="1">
      <alignment horizontal="center" vertical="center" wrapText="1"/>
      <protection/>
    </xf>
    <xf numFmtId="0" fontId="57" fillId="0" borderId="23" xfId="0" applyFont="1" applyFill="1" applyBorder="1" applyAlignment="1">
      <alignment horizontal="left" vertical="center" wrapText="1"/>
    </xf>
    <xf numFmtId="4" fontId="57" fillId="35" borderId="61" xfId="0" applyNumberFormat="1" applyFont="1" applyFill="1" applyBorder="1" applyAlignment="1">
      <alignment horizontal="center" vertical="center" wrapText="1"/>
    </xf>
    <xf numFmtId="4" fontId="57" fillId="35" borderId="20" xfId="0" applyNumberFormat="1" applyFont="1" applyFill="1" applyBorder="1" applyAlignment="1" applyProtection="1">
      <alignment horizontal="center" vertical="center" wrapText="1"/>
      <protection locked="0"/>
    </xf>
    <xf numFmtId="4" fontId="57" fillId="35" borderId="20" xfId="0" applyNumberFormat="1" applyFont="1" applyFill="1" applyBorder="1" applyAlignment="1" applyProtection="1">
      <alignment horizontal="center" vertical="center" wrapText="1"/>
      <protection/>
    </xf>
    <xf numFmtId="4" fontId="57" fillId="35" borderId="62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/>
    </xf>
    <xf numFmtId="0" fontId="57" fillId="0" borderId="63" xfId="0" applyFont="1" applyFill="1" applyBorder="1" applyAlignment="1">
      <alignment horizontal="left" vertical="center" wrapText="1"/>
    </xf>
    <xf numFmtId="4" fontId="57" fillId="0" borderId="64" xfId="0" applyNumberFormat="1" applyFont="1" applyFill="1" applyBorder="1" applyAlignment="1">
      <alignment horizontal="center" vertical="center" wrapText="1"/>
    </xf>
    <xf numFmtId="4" fontId="57" fillId="0" borderId="65" xfId="0" applyNumberFormat="1" applyFont="1" applyFill="1" applyBorder="1" applyAlignment="1">
      <alignment horizontal="center" vertical="center" wrapText="1"/>
    </xf>
    <xf numFmtId="4" fontId="57" fillId="0" borderId="65" xfId="0" applyNumberFormat="1" applyFont="1" applyFill="1" applyBorder="1" applyAlignment="1" applyProtection="1">
      <alignment horizontal="center" vertical="center" wrapText="1"/>
      <protection/>
    </xf>
    <xf numFmtId="4" fontId="57" fillId="0" borderId="66" xfId="0" applyNumberFormat="1" applyFont="1" applyFill="1" applyBorder="1" applyAlignment="1" applyProtection="1">
      <alignment horizontal="center" vertical="center" wrapText="1"/>
      <protection/>
    </xf>
    <xf numFmtId="0" fontId="57" fillId="0" borderId="22" xfId="0" applyFont="1" applyBorder="1" applyAlignment="1">
      <alignment horizontal="left" vertical="center" wrapText="1"/>
    </xf>
    <xf numFmtId="4" fontId="57" fillId="0" borderId="31" xfId="0" applyNumberFormat="1" applyFont="1" applyBorder="1" applyAlignment="1">
      <alignment horizontal="center" vertical="center" wrapText="1"/>
    </xf>
    <xf numFmtId="4" fontId="57" fillId="0" borderId="19" xfId="0" applyNumberFormat="1" applyFont="1" applyBorder="1" applyAlignment="1" applyProtection="1">
      <alignment horizontal="center" vertical="center" wrapText="1"/>
      <protection locked="0"/>
    </xf>
    <xf numFmtId="4" fontId="57" fillId="0" borderId="19" xfId="0" applyNumberFormat="1" applyFont="1" applyBorder="1" applyAlignment="1" applyProtection="1">
      <alignment horizontal="center" vertical="center" wrapText="1"/>
      <protection/>
    </xf>
    <xf numFmtId="4" fontId="57" fillId="0" borderId="67" xfId="0" applyNumberFormat="1" applyFont="1" applyBorder="1" applyAlignment="1" applyProtection="1">
      <alignment horizontal="center" vertical="center" wrapText="1"/>
      <protection/>
    </xf>
    <xf numFmtId="0" fontId="57" fillId="0" borderId="53" xfId="0" applyFont="1" applyFill="1" applyBorder="1" applyAlignment="1">
      <alignment horizontal="left" vertical="center" wrapText="1"/>
    </xf>
    <xf numFmtId="4" fontId="57" fillId="0" borderId="68" xfId="0" applyNumberFormat="1" applyFont="1" applyFill="1" applyBorder="1" applyAlignment="1">
      <alignment horizontal="center" vertical="center" wrapText="1"/>
    </xf>
    <xf numFmtId="4" fontId="57" fillId="0" borderId="52" xfId="0" applyNumberFormat="1" applyFont="1" applyFill="1" applyBorder="1" applyAlignment="1">
      <alignment horizontal="center" vertical="center" wrapText="1"/>
    </xf>
    <xf numFmtId="4" fontId="57" fillId="0" borderId="52" xfId="0" applyNumberFormat="1" applyFont="1" applyFill="1" applyBorder="1" applyAlignment="1" applyProtection="1">
      <alignment horizontal="center" vertical="center" wrapText="1"/>
      <protection/>
    </xf>
    <xf numFmtId="4" fontId="57" fillId="0" borderId="69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7" fillId="0" borderId="22" xfId="0" applyFont="1" applyFill="1" applyBorder="1" applyAlignment="1">
      <alignment horizontal="left" vertical="center" wrapText="1"/>
    </xf>
    <xf numFmtId="4" fontId="57" fillId="0" borderId="31" xfId="0" applyNumberFormat="1" applyFont="1" applyFill="1" applyBorder="1" applyAlignment="1">
      <alignment horizontal="center" vertical="center" wrapText="1"/>
    </xf>
    <xf numFmtId="4" fontId="57" fillId="0" borderId="19" xfId="0" applyNumberFormat="1" applyFont="1" applyFill="1" applyBorder="1" applyAlignment="1" applyProtection="1">
      <alignment horizontal="center" vertical="center" wrapText="1"/>
      <protection/>
    </xf>
    <xf numFmtId="4" fontId="57" fillId="0" borderId="67" xfId="0" applyNumberFormat="1" applyFont="1" applyFill="1" applyBorder="1" applyAlignment="1" applyProtection="1">
      <alignment horizontal="center" vertical="center" wrapText="1"/>
      <protection/>
    </xf>
    <xf numFmtId="0" fontId="57" fillId="0" borderId="7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4" fontId="57" fillId="0" borderId="19" xfId="0" applyNumberFormat="1" applyFont="1" applyFill="1" applyBorder="1" applyAlignment="1">
      <alignment horizontal="center" vertical="center" wrapText="1"/>
    </xf>
    <xf numFmtId="4" fontId="57" fillId="35" borderId="20" xfId="0" applyNumberFormat="1" applyFont="1" applyFill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5" borderId="72" xfId="0" applyFont="1" applyFill="1" applyBorder="1" applyAlignment="1">
      <alignment horizontal="center" vertical="center" wrapText="1"/>
    </xf>
    <xf numFmtId="0" fontId="57" fillId="0" borderId="73" xfId="0" applyFont="1" applyFill="1" applyBorder="1" applyAlignment="1">
      <alignment horizontal="center" vertical="center" wrapText="1"/>
    </xf>
    <xf numFmtId="4" fontId="57" fillId="0" borderId="74" xfId="0" applyNumberFormat="1" applyFont="1" applyFill="1" applyBorder="1" applyAlignment="1">
      <alignment horizontal="center" vertical="center" wrapText="1"/>
    </xf>
    <xf numFmtId="4" fontId="57" fillId="0" borderId="48" xfId="0" applyNumberFormat="1" applyFont="1" applyFill="1" applyBorder="1" applyAlignment="1">
      <alignment horizontal="center" vertical="center" wrapText="1"/>
    </xf>
    <xf numFmtId="2" fontId="57" fillId="0" borderId="71" xfId="0" applyNumberFormat="1" applyFont="1" applyFill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/>
    </xf>
    <xf numFmtId="0" fontId="57" fillId="0" borderId="71" xfId="0" applyFont="1" applyBorder="1" applyAlignment="1">
      <alignment horizontal="center" vertical="center"/>
    </xf>
    <xf numFmtId="2" fontId="57" fillId="0" borderId="71" xfId="0" applyNumberFormat="1" applyFont="1" applyBorder="1" applyAlignment="1">
      <alignment horizontal="center" vertical="center"/>
    </xf>
    <xf numFmtId="167" fontId="57" fillId="0" borderId="71" xfId="0" applyNumberFormat="1" applyFont="1" applyBorder="1" applyAlignment="1">
      <alignment horizontal="center" vertical="center"/>
    </xf>
    <xf numFmtId="0" fontId="57" fillId="0" borderId="71" xfId="0" applyFont="1" applyBorder="1" applyAlignment="1">
      <alignment horizontal="left" vertical="center" wrapText="1"/>
    </xf>
    <xf numFmtId="0" fontId="58" fillId="0" borderId="71" xfId="0" applyFont="1" applyBorder="1" applyAlignment="1">
      <alignment horizontal="center" vertical="center" wrapText="1"/>
    </xf>
    <xf numFmtId="2" fontId="57" fillId="0" borderId="33" xfId="0" applyNumberFormat="1" applyFont="1" applyFill="1" applyBorder="1" applyAlignment="1">
      <alignment horizontal="center" vertical="center" wrapText="1"/>
    </xf>
    <xf numFmtId="0" fontId="58" fillId="0" borderId="7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2" fontId="57" fillId="0" borderId="12" xfId="0" applyNumberFormat="1" applyFont="1" applyBorder="1" applyAlignment="1">
      <alignment horizontal="center" vertical="center"/>
    </xf>
    <xf numFmtId="4" fontId="57" fillId="0" borderId="71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4" fontId="57" fillId="0" borderId="71" xfId="0" applyNumberFormat="1" applyFont="1" applyBorder="1" applyAlignment="1">
      <alignment horizontal="center" vertical="center"/>
    </xf>
    <xf numFmtId="4" fontId="57" fillId="0" borderId="76" xfId="0" applyNumberFormat="1" applyFont="1" applyBorder="1" applyAlignment="1">
      <alignment horizontal="center" vertical="center"/>
    </xf>
    <xf numFmtId="4" fontId="57" fillId="0" borderId="71" xfId="0" applyNumberFormat="1" applyFont="1" applyFill="1" applyBorder="1" applyAlignment="1">
      <alignment horizontal="center" vertical="center" wrapText="1"/>
    </xf>
    <xf numFmtId="4" fontId="57" fillId="0" borderId="71" xfId="0" applyNumberFormat="1" applyFont="1" applyBorder="1" applyAlignment="1">
      <alignment/>
    </xf>
    <xf numFmtId="4" fontId="59" fillId="0" borderId="71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4" fontId="57" fillId="0" borderId="76" xfId="0" applyNumberFormat="1" applyFont="1" applyFill="1" applyBorder="1" applyAlignment="1">
      <alignment horizontal="center" vertical="center" wrapText="1"/>
    </xf>
    <xf numFmtId="4" fontId="57" fillId="0" borderId="77" xfId="0" applyNumberFormat="1" applyFont="1" applyFill="1" applyBorder="1" applyAlignment="1">
      <alignment horizontal="center" vertical="center" wrapText="1"/>
    </xf>
    <xf numFmtId="4" fontId="57" fillId="35" borderId="7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78" xfId="0" applyNumberFormat="1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wrapText="1"/>
    </xf>
    <xf numFmtId="0" fontId="60" fillId="0" borderId="0" xfId="0" applyFont="1" applyAlignment="1">
      <alignment horizontal="left" vertical="top" wrapText="1"/>
    </xf>
    <xf numFmtId="0" fontId="58" fillId="0" borderId="0" xfId="0" applyFont="1" applyAlignment="1">
      <alignment wrapText="1"/>
    </xf>
    <xf numFmtId="0" fontId="57" fillId="0" borderId="79" xfId="0" applyFont="1" applyBorder="1" applyAlignment="1">
      <alignment horizontal="left" vertical="top" wrapText="1"/>
    </xf>
    <xf numFmtId="0" fontId="57" fillId="0" borderId="80" xfId="0" applyFont="1" applyBorder="1" applyAlignment="1">
      <alignment horizontal="left" vertical="top" wrapText="1"/>
    </xf>
    <xf numFmtId="0" fontId="57" fillId="0" borderId="81" xfId="0" applyFont="1" applyBorder="1" applyAlignment="1">
      <alignment horizontal="left" vertical="top" wrapText="1"/>
    </xf>
    <xf numFmtId="0" fontId="61" fillId="0" borderId="0" xfId="0" applyFont="1" applyAlignment="1">
      <alignment wrapText="1"/>
    </xf>
    <xf numFmtId="0" fontId="57" fillId="0" borderId="82" xfId="0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57" fillId="0" borderId="83" xfId="0" applyFont="1" applyBorder="1" applyAlignment="1">
      <alignment horizontal="left" vertical="top" wrapText="1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 applyProtection="1">
      <alignment wrapText="1"/>
      <protection locked="0"/>
    </xf>
    <xf numFmtId="0" fontId="57" fillId="0" borderId="0" xfId="0" applyFont="1" applyBorder="1" applyAlignment="1">
      <alignment horizontal="right" wrapText="1"/>
    </xf>
    <xf numFmtId="0" fontId="57" fillId="0" borderId="84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center" vertical="center" wrapText="1"/>
    </xf>
    <xf numFmtId="4" fontId="4" fillId="35" borderId="86" xfId="0" applyNumberFormat="1" applyFont="1" applyFill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57" fillId="0" borderId="88" xfId="0" applyFont="1" applyBorder="1" applyAlignment="1">
      <alignment wrapText="1"/>
    </xf>
    <xf numFmtId="4" fontId="57" fillId="0" borderId="38" xfId="0" applyNumberFormat="1" applyFont="1" applyBorder="1" applyAlignment="1">
      <alignment horizontal="center" vertical="center" wrapText="1"/>
    </xf>
    <xf numFmtId="4" fontId="57" fillId="0" borderId="89" xfId="0" applyNumberFormat="1" applyFont="1" applyBorder="1" applyAlignment="1">
      <alignment horizontal="center" vertical="center" wrapText="1"/>
    </xf>
    <xf numFmtId="4" fontId="57" fillId="0" borderId="39" xfId="0" applyNumberFormat="1" applyFont="1" applyBorder="1" applyAlignment="1">
      <alignment horizontal="center" vertical="center" wrapText="1"/>
    </xf>
    <xf numFmtId="4" fontId="57" fillId="0" borderId="31" xfId="0" applyNumberFormat="1" applyFont="1" applyBorder="1" applyAlignment="1">
      <alignment horizontal="center" vertical="center" wrapText="1"/>
    </xf>
    <xf numFmtId="4" fontId="57" fillId="35" borderId="47" xfId="0" applyNumberFormat="1" applyFont="1" applyFill="1" applyBorder="1" applyAlignment="1">
      <alignment horizontal="center" vertical="center" wrapText="1"/>
    </xf>
    <xf numFmtId="4" fontId="57" fillId="35" borderId="64" xfId="0" applyNumberFormat="1" applyFont="1" applyFill="1" applyBorder="1" applyAlignment="1">
      <alignment horizontal="center" vertical="center" wrapText="1"/>
    </xf>
    <xf numFmtId="4" fontId="57" fillId="35" borderId="90" xfId="0" applyNumberFormat="1" applyFont="1" applyFill="1" applyBorder="1" applyAlignment="1">
      <alignment horizontal="center" vertical="center" wrapText="1"/>
    </xf>
    <xf numFmtId="4" fontId="57" fillId="35" borderId="46" xfId="0" applyNumberFormat="1" applyFont="1" applyFill="1" applyBorder="1" applyAlignment="1">
      <alignment horizontal="center" vertical="center" wrapText="1"/>
    </xf>
    <xf numFmtId="4" fontId="58" fillId="0" borderId="38" xfId="0" applyNumberFormat="1" applyFont="1" applyBorder="1" applyAlignment="1">
      <alignment horizontal="center" vertical="center" wrapText="1"/>
    </xf>
    <xf numFmtId="4" fontId="58" fillId="0" borderId="31" xfId="0" applyNumberFormat="1" applyFont="1" applyBorder="1" applyAlignment="1">
      <alignment horizontal="center" vertical="center" wrapText="1"/>
    </xf>
    <xf numFmtId="4" fontId="58" fillId="0" borderId="89" xfId="0" applyNumberFormat="1" applyFont="1" applyBorder="1" applyAlignment="1">
      <alignment horizontal="center" vertical="center" wrapText="1"/>
    </xf>
    <xf numFmtId="4" fontId="58" fillId="0" borderId="39" xfId="0" applyNumberFormat="1" applyFont="1" applyBorder="1" applyAlignment="1">
      <alignment horizontal="center" vertical="center" wrapText="1"/>
    </xf>
    <xf numFmtId="4" fontId="58" fillId="35" borderId="50" xfId="0" applyNumberFormat="1" applyFont="1" applyFill="1" applyBorder="1" applyAlignment="1">
      <alignment horizontal="center" vertical="center" wrapText="1"/>
    </xf>
    <xf numFmtId="4" fontId="58" fillId="35" borderId="68" xfId="0" applyNumberFormat="1" applyFont="1" applyFill="1" applyBorder="1" applyAlignment="1">
      <alignment horizontal="center" vertical="center" wrapText="1"/>
    </xf>
    <xf numFmtId="4" fontId="58" fillId="35" borderId="91" xfId="0" applyNumberFormat="1" applyFont="1" applyFill="1" applyBorder="1" applyAlignment="1">
      <alignment horizontal="center" vertical="center" wrapText="1"/>
    </xf>
    <xf numFmtId="4" fontId="58" fillId="35" borderId="51" xfId="0" applyNumberFormat="1" applyFont="1" applyFill="1" applyBorder="1" applyAlignment="1">
      <alignment horizontal="center" vertical="center" wrapText="1"/>
    </xf>
    <xf numFmtId="0" fontId="61" fillId="0" borderId="88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57" fillId="0" borderId="92" xfId="0" applyFont="1" applyBorder="1" applyAlignment="1">
      <alignment horizontal="center" vertical="center" wrapText="1"/>
    </xf>
    <xf numFmtId="4" fontId="57" fillId="0" borderId="71" xfId="0" applyNumberFormat="1" applyFont="1" applyFill="1" applyBorder="1" applyAlignment="1">
      <alignment horizontal="center" vertical="center"/>
    </xf>
    <xf numFmtId="0" fontId="57" fillId="0" borderId="71" xfId="0" applyFont="1" applyFill="1" applyBorder="1" applyAlignment="1">
      <alignment horizontal="left" vertical="center" wrapText="1"/>
    </xf>
    <xf numFmtId="2" fontId="57" fillId="0" borderId="71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2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7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Fill="1" applyAlignment="1">
      <alignment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horizontal="right" vertical="center"/>
    </xf>
    <xf numFmtId="2" fontId="61" fillId="0" borderId="71" xfId="0" applyNumberFormat="1" applyFont="1" applyFill="1" applyBorder="1" applyAlignment="1" applyProtection="1">
      <alignment horizontal="center" vertical="center" wrapText="1"/>
      <protection/>
    </xf>
    <xf numFmtId="4" fontId="57" fillId="36" borderId="76" xfId="0" applyNumberFormat="1" applyFont="1" applyFill="1" applyBorder="1" applyAlignment="1">
      <alignment horizontal="center" vertical="center"/>
    </xf>
    <xf numFmtId="4" fontId="57" fillId="36" borderId="12" xfId="0" applyNumberFormat="1" applyFont="1" applyFill="1" applyBorder="1" applyAlignment="1">
      <alignment horizontal="center" vertical="center"/>
    </xf>
    <xf numFmtId="4" fontId="57" fillId="36" borderId="71" xfId="0" applyNumberFormat="1" applyFont="1" applyFill="1" applyBorder="1" applyAlignment="1">
      <alignment horizontal="center" vertical="center"/>
    </xf>
    <xf numFmtId="2" fontId="57" fillId="36" borderId="71" xfId="0" applyNumberFormat="1" applyFont="1" applyFill="1" applyBorder="1" applyAlignment="1">
      <alignment horizontal="center" vertical="center"/>
    </xf>
    <xf numFmtId="167" fontId="57" fillId="36" borderId="71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 wrapText="1"/>
    </xf>
    <xf numFmtId="2" fontId="7" fillId="36" borderId="71" xfId="0" applyNumberFormat="1" applyFont="1" applyFill="1" applyBorder="1" applyAlignment="1">
      <alignment horizontal="center"/>
    </xf>
    <xf numFmtId="0" fontId="7" fillId="36" borderId="71" xfId="0" applyFont="1" applyFill="1" applyBorder="1" applyAlignment="1">
      <alignment horizontal="center"/>
    </xf>
    <xf numFmtId="0" fontId="7" fillId="36" borderId="71" xfId="0" applyFont="1" applyFill="1" applyBorder="1" applyAlignment="1">
      <alignment horizontal="center" vertical="center"/>
    </xf>
    <xf numFmtId="2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71" xfId="0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35" borderId="65" xfId="0" applyNumberFormat="1" applyFont="1" applyFill="1" applyBorder="1" applyAlignment="1">
      <alignment horizontal="center" vertical="center" wrapText="1"/>
    </xf>
    <xf numFmtId="4" fontId="3" fillId="35" borderId="63" xfId="0" applyNumberFormat="1" applyFont="1" applyFill="1" applyBorder="1" applyAlignment="1">
      <alignment horizontal="center" vertical="center" wrapText="1"/>
    </xf>
    <xf numFmtId="4" fontId="4" fillId="0" borderId="75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63" fillId="0" borderId="0" xfId="0" applyFont="1" applyBorder="1" applyAlignment="1">
      <alignment/>
    </xf>
    <xf numFmtId="0" fontId="57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4" fontId="63" fillId="0" borderId="0" xfId="0" applyNumberFormat="1" applyFont="1" applyBorder="1" applyAlignment="1">
      <alignment/>
    </xf>
    <xf numFmtId="4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4" fontId="57" fillId="35" borderId="64" xfId="0" applyNumberFormat="1" applyFont="1" applyFill="1" applyBorder="1" applyAlignment="1">
      <alignment horizontal="center" vertical="center" wrapText="1"/>
    </xf>
    <xf numFmtId="4" fontId="57" fillId="0" borderId="31" xfId="0" applyNumberFormat="1" applyFont="1" applyBorder="1" applyAlignment="1">
      <alignment horizontal="center" vertical="center" wrapText="1"/>
    </xf>
    <xf numFmtId="0" fontId="66" fillId="0" borderId="78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top" wrapText="1"/>
    </xf>
    <xf numFmtId="0" fontId="66" fillId="0" borderId="93" xfId="0" applyFont="1" applyBorder="1" applyAlignment="1">
      <alignment horizontal="center" vertical="top" wrapText="1"/>
    </xf>
    <xf numFmtId="0" fontId="61" fillId="0" borderId="78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93" xfId="0" applyFont="1" applyBorder="1" applyAlignment="1">
      <alignment horizontal="center" vertical="top" wrapText="1"/>
    </xf>
    <xf numFmtId="0" fontId="67" fillId="0" borderId="94" xfId="0" applyFont="1" applyFill="1" applyBorder="1" applyAlignment="1">
      <alignment horizontal="center" vertical="center" wrapText="1"/>
    </xf>
    <xf numFmtId="0" fontId="67" fillId="0" borderId="93" xfId="0" applyFont="1" applyFill="1" applyBorder="1" applyAlignment="1">
      <alignment horizontal="center" vertical="center" wrapText="1"/>
    </xf>
    <xf numFmtId="0" fontId="67" fillId="0" borderId="95" xfId="0" applyFont="1" applyFill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4" fontId="57" fillId="0" borderId="26" xfId="0" applyNumberFormat="1" applyFont="1" applyBorder="1" applyAlignment="1">
      <alignment horizontal="center" vertical="center" wrapText="1"/>
    </xf>
    <xf numFmtId="4" fontId="57" fillId="0" borderId="31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99" xfId="0" applyFont="1" applyBorder="1" applyAlignment="1">
      <alignment horizontal="center" vertical="center" wrapText="1"/>
    </xf>
    <xf numFmtId="0" fontId="61" fillId="0" borderId="100" xfId="0" applyFont="1" applyBorder="1" applyAlignment="1">
      <alignment horizontal="center" vertical="center" wrapText="1"/>
    </xf>
    <xf numFmtId="0" fontId="61" fillId="0" borderId="78" xfId="0" applyFont="1" applyBorder="1" applyAlignment="1">
      <alignment horizontal="center" vertical="center" wrapText="1"/>
    </xf>
    <xf numFmtId="0" fontId="61" fillId="0" borderId="101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02" xfId="0" applyFont="1" applyBorder="1" applyAlignment="1">
      <alignment horizontal="center" vertical="center" wrapText="1"/>
    </xf>
    <xf numFmtId="4" fontId="57" fillId="0" borderId="33" xfId="0" applyNumberFormat="1" applyFont="1" applyBorder="1" applyAlignment="1">
      <alignment horizontal="center" vertical="center" wrapText="1"/>
    </xf>
    <xf numFmtId="4" fontId="57" fillId="0" borderId="76" xfId="0" applyNumberFormat="1" applyFont="1" applyBorder="1" applyAlignment="1">
      <alignment horizontal="center" vertical="center" wrapText="1"/>
    </xf>
    <xf numFmtId="4" fontId="57" fillId="35" borderId="45" xfId="0" applyNumberFormat="1" applyFont="1" applyFill="1" applyBorder="1" applyAlignment="1">
      <alignment horizontal="center" vertical="center" wrapText="1"/>
    </xf>
    <xf numFmtId="4" fontId="57" fillId="35" borderId="64" xfId="0" applyNumberFormat="1" applyFont="1" applyFill="1" applyBorder="1" applyAlignment="1">
      <alignment horizontal="center" vertical="center" wrapText="1"/>
    </xf>
    <xf numFmtId="0" fontId="61" fillId="0" borderId="99" xfId="0" applyFont="1" applyBorder="1" applyAlignment="1">
      <alignment horizontal="center" vertical="top" wrapText="1"/>
    </xf>
    <xf numFmtId="0" fontId="61" fillId="0" borderId="100" xfId="0" applyFont="1" applyBorder="1" applyAlignment="1">
      <alignment horizontal="center" vertical="top" wrapText="1"/>
    </xf>
    <xf numFmtId="0" fontId="61" fillId="0" borderId="102" xfId="0" applyFont="1" applyBorder="1" applyAlignment="1">
      <alignment horizontal="center" vertical="top" wrapText="1"/>
    </xf>
    <xf numFmtId="0" fontId="0" fillId="0" borderId="103" xfId="0" applyBorder="1" applyAlignment="1">
      <alignment/>
    </xf>
    <xf numFmtId="0" fontId="0" fillId="0" borderId="78" xfId="0" applyBorder="1" applyAlignment="1">
      <alignment/>
    </xf>
    <xf numFmtId="0" fontId="0" fillId="0" borderId="104" xfId="0" applyBorder="1" applyAlignment="1">
      <alignment/>
    </xf>
    <xf numFmtId="0" fontId="61" fillId="0" borderId="85" xfId="0" applyFont="1" applyBorder="1" applyAlignment="1">
      <alignment horizontal="center" wrapText="1"/>
    </xf>
    <xf numFmtId="0" fontId="61" fillId="0" borderId="105" xfId="0" applyFont="1" applyBorder="1" applyAlignment="1">
      <alignment horizont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98" xfId="0" applyFont="1" applyBorder="1" applyAlignment="1">
      <alignment horizontal="center" vertical="center" wrapText="1"/>
    </xf>
    <xf numFmtId="0" fontId="66" fillId="0" borderId="76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wrapText="1"/>
    </xf>
    <xf numFmtId="0" fontId="66" fillId="0" borderId="76" xfId="0" applyFont="1" applyBorder="1" applyAlignment="1">
      <alignment horizontal="center" wrapText="1"/>
    </xf>
    <xf numFmtId="0" fontId="5" fillId="0" borderId="97" xfId="0" applyFont="1" applyBorder="1" applyAlignment="1">
      <alignment horizontal="center" vertical="center" wrapText="1"/>
    </xf>
    <xf numFmtId="0" fontId="7" fillId="0" borderId="106" xfId="0" applyFont="1" applyBorder="1" applyAlignment="1" applyProtection="1">
      <alignment horizontal="left" vertical="top" wrapText="1"/>
      <protection locked="0"/>
    </xf>
    <xf numFmtId="0" fontId="7" fillId="0" borderId="107" xfId="0" applyFont="1" applyBorder="1" applyAlignment="1" applyProtection="1">
      <alignment horizontal="left" vertical="top" wrapText="1"/>
      <protection locked="0"/>
    </xf>
    <xf numFmtId="0" fontId="7" fillId="0" borderId="108" xfId="0" applyFont="1" applyBorder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center" wrapText="1"/>
    </xf>
    <xf numFmtId="0" fontId="58" fillId="0" borderId="0" xfId="0" applyFont="1" applyAlignment="1" applyProtection="1">
      <alignment horizontal="center" wrapText="1"/>
      <protection locked="0"/>
    </xf>
    <xf numFmtId="0" fontId="57" fillId="0" borderId="109" xfId="0" applyFont="1" applyBorder="1" applyAlignment="1" applyProtection="1">
      <alignment horizontal="left" vertical="top" wrapText="1"/>
      <protection locked="0"/>
    </xf>
    <xf numFmtId="0" fontId="57" fillId="0" borderId="110" xfId="0" applyFont="1" applyBorder="1" applyAlignment="1" applyProtection="1">
      <alignment horizontal="left" vertical="top" wrapText="1"/>
      <protection locked="0"/>
    </xf>
    <xf numFmtId="0" fontId="57" fillId="0" borderId="111" xfId="0" applyFont="1" applyBorder="1" applyAlignment="1" applyProtection="1">
      <alignment horizontal="left" vertical="top" wrapText="1"/>
      <protection locked="0"/>
    </xf>
    <xf numFmtId="0" fontId="57" fillId="0" borderId="33" xfId="0" applyFont="1" applyBorder="1" applyAlignment="1">
      <alignment horizontal="center" vertical="center" wrapText="1"/>
    </xf>
    <xf numFmtId="0" fontId="57" fillId="0" borderId="97" xfId="0" applyFont="1" applyBorder="1" applyAlignment="1">
      <alignment horizontal="center" vertical="center" wrapText="1"/>
    </xf>
    <xf numFmtId="0" fontId="57" fillId="0" borderId="76" xfId="0" applyFont="1" applyBorder="1" applyAlignment="1">
      <alignment horizontal="center" vertical="center" wrapText="1"/>
    </xf>
    <xf numFmtId="0" fontId="7" fillId="0" borderId="100" xfId="0" applyFont="1" applyBorder="1" applyAlignment="1" applyProtection="1">
      <alignment horizontal="left" vertical="top" wrapText="1"/>
      <protection locked="0"/>
    </xf>
    <xf numFmtId="0" fontId="7" fillId="0" borderId="92" xfId="0" applyFont="1" applyBorder="1" applyAlignment="1" applyProtection="1">
      <alignment horizontal="left" vertical="top" wrapText="1"/>
      <protection locked="0"/>
    </xf>
    <xf numFmtId="0" fontId="7" fillId="0" borderId="112" xfId="0" applyFont="1" applyBorder="1" applyAlignment="1" applyProtection="1">
      <alignment horizontal="left" vertical="top" wrapText="1"/>
      <protection locked="0"/>
    </xf>
    <xf numFmtId="0" fontId="57" fillId="0" borderId="105" xfId="0" applyFont="1" applyBorder="1" applyAlignment="1">
      <alignment horizontal="center" vertical="center" wrapText="1"/>
    </xf>
    <xf numFmtId="0" fontId="57" fillId="0" borderId="113" xfId="0" applyFont="1" applyBorder="1" applyAlignment="1">
      <alignment horizontal="center" vertical="center" wrapText="1"/>
    </xf>
    <xf numFmtId="0" fontId="57" fillId="0" borderId="76" xfId="0" applyFont="1" applyBorder="1" applyAlignment="1">
      <alignment horizontal="left" vertical="center" wrapText="1"/>
    </xf>
    <xf numFmtId="0" fontId="57" fillId="0" borderId="71" xfId="0" applyFont="1" applyBorder="1" applyAlignment="1">
      <alignment horizontal="left" vertical="center" wrapText="1"/>
    </xf>
    <xf numFmtId="0" fontId="57" fillId="0" borderId="114" xfId="0" applyFont="1" applyBorder="1" applyAlignment="1" applyProtection="1">
      <alignment horizontal="left" vertical="top" wrapText="1"/>
      <protection locked="0"/>
    </xf>
    <xf numFmtId="0" fontId="57" fillId="0" borderId="115" xfId="0" applyFont="1" applyBorder="1" applyAlignment="1" applyProtection="1">
      <alignment horizontal="left" vertical="top" wrapText="1"/>
      <protection locked="0"/>
    </xf>
    <xf numFmtId="0" fontId="57" fillId="0" borderId="116" xfId="0" applyFont="1" applyBorder="1" applyAlignment="1" applyProtection="1">
      <alignment horizontal="left" vertical="top" wrapText="1"/>
      <protection locked="0"/>
    </xf>
    <xf numFmtId="0" fontId="61" fillId="0" borderId="104" xfId="0" applyFont="1" applyBorder="1" applyAlignment="1">
      <alignment horizontal="center" vertical="top" wrapText="1"/>
    </xf>
    <xf numFmtId="0" fontId="61" fillId="0" borderId="95" xfId="0" applyFont="1" applyBorder="1" applyAlignment="1">
      <alignment horizontal="center" vertical="top" wrapText="1"/>
    </xf>
    <xf numFmtId="0" fontId="57" fillId="0" borderId="78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93" xfId="0" applyFont="1" applyBorder="1" applyAlignment="1">
      <alignment horizontal="center" vertical="top" wrapText="1"/>
    </xf>
    <xf numFmtId="4" fontId="61" fillId="0" borderId="71" xfId="0" applyNumberFormat="1" applyFont="1" applyFill="1" applyBorder="1" applyAlignment="1" applyProtection="1">
      <alignment horizontal="center" vertical="center" wrapText="1"/>
      <protection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1" fillId="0" borderId="117" xfId="0" applyFont="1" applyFill="1" applyBorder="1" applyAlignment="1" applyProtection="1">
      <alignment horizontal="center" vertical="center" wrapText="1"/>
      <protection/>
    </xf>
    <xf numFmtId="0" fontId="61" fillId="0" borderId="76" xfId="0" applyFont="1" applyFill="1" applyBorder="1" applyAlignment="1">
      <alignment horizontal="left" vertical="center" wrapText="1"/>
    </xf>
    <xf numFmtId="0" fontId="61" fillId="0" borderId="71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right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 applyProtection="1">
      <alignment horizontal="center" wrapText="1"/>
      <protection locked="0"/>
    </xf>
    <xf numFmtId="0" fontId="57" fillId="0" borderId="0" xfId="0" applyFont="1" applyBorder="1" applyAlignment="1" applyProtection="1">
      <alignment horizontal="center"/>
      <protection locked="0"/>
    </xf>
    <xf numFmtId="0" fontId="57" fillId="0" borderId="118" xfId="0" applyFont="1" applyFill="1" applyBorder="1" applyAlignment="1">
      <alignment horizontal="left" vertical="top" wrapText="1"/>
    </xf>
    <xf numFmtId="0" fontId="57" fillId="0" borderId="119" xfId="0" applyFont="1" applyFill="1" applyBorder="1" applyAlignment="1">
      <alignment horizontal="left" vertical="top" wrapText="1"/>
    </xf>
    <xf numFmtId="0" fontId="57" fillId="0" borderId="120" xfId="0" applyFont="1" applyFill="1" applyBorder="1" applyAlignment="1">
      <alignment horizontal="left" vertical="top" wrapText="1"/>
    </xf>
    <xf numFmtId="0" fontId="57" fillId="0" borderId="114" xfId="0" applyFont="1" applyFill="1" applyBorder="1" applyAlignment="1">
      <alignment horizontal="left" vertical="top" wrapText="1"/>
    </xf>
    <xf numFmtId="0" fontId="57" fillId="0" borderId="115" xfId="0" applyFont="1" applyFill="1" applyBorder="1" applyAlignment="1">
      <alignment horizontal="left" vertical="top" wrapText="1"/>
    </xf>
    <xf numFmtId="0" fontId="57" fillId="0" borderId="116" xfId="0" applyFont="1" applyFill="1" applyBorder="1" applyAlignment="1">
      <alignment horizontal="left" vertical="top" wrapText="1"/>
    </xf>
    <xf numFmtId="0" fontId="57" fillId="0" borderId="97" xfId="0" applyFont="1" applyBorder="1" applyAlignment="1">
      <alignment horizontal="left" vertical="center" wrapText="1"/>
    </xf>
    <xf numFmtId="0" fontId="57" fillId="0" borderId="98" xfId="0" applyFont="1" applyBorder="1" applyAlignment="1">
      <alignment horizontal="left" vertical="center" wrapText="1"/>
    </xf>
    <xf numFmtId="0" fontId="57" fillId="0" borderId="121" xfId="0" applyFont="1" applyBorder="1" applyAlignment="1">
      <alignment horizontal="left" vertical="top" wrapText="1"/>
    </xf>
    <xf numFmtId="0" fontId="57" fillId="0" borderId="100" xfId="0" applyFont="1" applyBorder="1" applyAlignment="1">
      <alignment horizontal="left" vertical="top" wrapText="1"/>
    </xf>
    <xf numFmtId="0" fontId="57" fillId="0" borderId="92" xfId="0" applyFont="1" applyBorder="1" applyAlignment="1">
      <alignment horizontal="left" vertical="top" wrapText="1"/>
    </xf>
    <xf numFmtId="0" fontId="57" fillId="0" borderId="112" xfId="0" applyFont="1" applyBorder="1" applyAlignment="1">
      <alignment horizontal="left" vertical="top" wrapText="1"/>
    </xf>
    <xf numFmtId="0" fontId="57" fillId="0" borderId="122" xfId="0" applyFont="1" applyFill="1" applyBorder="1" applyAlignment="1">
      <alignment horizontal="left" vertical="top" wrapText="1"/>
    </xf>
    <xf numFmtId="0" fontId="57" fillId="0" borderId="123" xfId="0" applyFont="1" applyFill="1" applyBorder="1" applyAlignment="1">
      <alignment horizontal="left" vertical="top" wrapText="1"/>
    </xf>
    <xf numFmtId="0" fontId="57" fillId="0" borderId="124" xfId="0" applyFont="1" applyBorder="1" applyAlignment="1">
      <alignment horizontal="center" vertical="center" wrapText="1"/>
    </xf>
    <xf numFmtId="0" fontId="57" fillId="0" borderId="125" xfId="0" applyFont="1" applyBorder="1" applyAlignment="1">
      <alignment horizontal="center" vertical="center" wrapText="1"/>
    </xf>
    <xf numFmtId="0" fontId="57" fillId="0" borderId="100" xfId="0" applyFont="1" applyBorder="1" applyAlignment="1">
      <alignment horizontal="center" vertical="center" wrapText="1"/>
    </xf>
    <xf numFmtId="0" fontId="67" fillId="0" borderId="99" xfId="0" applyFont="1" applyBorder="1" applyAlignment="1">
      <alignment horizontal="center" vertical="center" wrapText="1"/>
    </xf>
    <xf numFmtId="0" fontId="67" fillId="0" borderId="125" xfId="0" applyFont="1" applyBorder="1" applyAlignment="1">
      <alignment horizontal="center" vertical="center" wrapText="1"/>
    </xf>
    <xf numFmtId="0" fontId="67" fillId="0" borderId="100" xfId="0" applyFont="1" applyBorder="1" applyAlignment="1">
      <alignment horizontal="center" vertical="center" wrapText="1"/>
    </xf>
    <xf numFmtId="0" fontId="61" fillId="0" borderId="126" xfId="0" applyFont="1" applyFill="1" applyBorder="1" applyAlignment="1">
      <alignment horizontal="left" vertical="center" wrapText="1"/>
    </xf>
    <xf numFmtId="0" fontId="61" fillId="0" borderId="70" xfId="0" applyFont="1" applyFill="1" applyBorder="1" applyAlignment="1">
      <alignment horizontal="left" vertical="center" wrapText="1"/>
    </xf>
    <xf numFmtId="0" fontId="61" fillId="0" borderId="29" xfId="0" applyFont="1" applyFill="1" applyBorder="1" applyAlignment="1">
      <alignment horizontal="left" vertical="center" wrapText="1"/>
    </xf>
    <xf numFmtId="4" fontId="61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8" fillId="35" borderId="0" xfId="0" applyFont="1" applyFill="1" applyBorder="1" applyAlignment="1">
      <alignment horizontal="center" vertical="center" wrapText="1"/>
    </xf>
    <xf numFmtId="0" fontId="68" fillId="35" borderId="104" xfId="0" applyFont="1" applyFill="1" applyBorder="1" applyAlignment="1">
      <alignment horizontal="center" vertical="center" wrapText="1"/>
    </xf>
    <xf numFmtId="0" fontId="61" fillId="0" borderId="96" xfId="0" applyFont="1" applyFill="1" applyBorder="1" applyAlignment="1">
      <alignment horizontal="left" vertical="center" wrapText="1"/>
    </xf>
    <xf numFmtId="0" fontId="61" fillId="0" borderId="97" xfId="0" applyFont="1" applyFill="1" applyBorder="1" applyAlignment="1">
      <alignment horizontal="left" vertical="center" wrapText="1"/>
    </xf>
    <xf numFmtId="0" fontId="57" fillId="0" borderId="127" xfId="0" applyFont="1" applyFill="1" applyBorder="1" applyAlignment="1" applyProtection="1">
      <alignment horizontal="left" vertical="top" wrapText="1"/>
      <protection locked="0"/>
    </xf>
    <xf numFmtId="0" fontId="57" fillId="0" borderId="128" xfId="0" applyFont="1" applyFill="1" applyBorder="1" applyAlignment="1" applyProtection="1">
      <alignment horizontal="left" vertical="top" wrapText="1"/>
      <protection locked="0"/>
    </xf>
    <xf numFmtId="0" fontId="57" fillId="0" borderId="129" xfId="0" applyFont="1" applyFill="1" applyBorder="1" applyAlignment="1" applyProtection="1">
      <alignment horizontal="left" vertical="top" wrapText="1"/>
      <protection locked="0"/>
    </xf>
    <xf numFmtId="4" fontId="57" fillId="0" borderId="97" xfId="0" applyNumberFormat="1" applyFont="1" applyBorder="1" applyAlignment="1">
      <alignment horizontal="center" vertical="center" wrapText="1"/>
    </xf>
    <xf numFmtId="0" fontId="7" fillId="35" borderId="94" xfId="0" applyFont="1" applyFill="1" applyBorder="1" applyAlignment="1">
      <alignment horizontal="left" vertical="center" wrapText="1"/>
    </xf>
    <xf numFmtId="0" fontId="7" fillId="35" borderId="93" xfId="0" applyFont="1" applyFill="1" applyBorder="1" applyAlignment="1">
      <alignment horizontal="left" vertical="center" wrapText="1"/>
    </xf>
    <xf numFmtId="0" fontId="7" fillId="35" borderId="102" xfId="0" applyFont="1" applyFill="1" applyBorder="1" applyAlignment="1">
      <alignment horizontal="left" vertical="center" wrapText="1"/>
    </xf>
    <xf numFmtId="0" fontId="7" fillId="35" borderId="45" xfId="0" applyFont="1" applyFill="1" applyBorder="1" applyAlignment="1" applyProtection="1">
      <alignment horizontal="center" vertical="center" wrapText="1"/>
      <protection locked="0"/>
    </xf>
    <xf numFmtId="0" fontId="7" fillId="35" borderId="64" xfId="0" applyFont="1" applyFill="1" applyBorder="1" applyAlignment="1" applyProtection="1">
      <alignment horizontal="center" vertical="center" wrapText="1"/>
      <protection locked="0"/>
    </xf>
    <xf numFmtId="0" fontId="61" fillId="0" borderId="130" xfId="0" applyFont="1" applyFill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 locked="0"/>
    </xf>
    <xf numFmtId="0" fontId="9" fillId="0" borderId="125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center" vertical="center" wrapText="1"/>
      <protection locked="0"/>
    </xf>
    <xf numFmtId="0" fontId="68" fillId="35" borderId="96" xfId="0" applyFont="1" applyFill="1" applyBorder="1" applyAlignment="1">
      <alignment horizontal="center" vertical="center" wrapText="1"/>
    </xf>
    <xf numFmtId="0" fontId="68" fillId="35" borderId="97" xfId="0" applyFont="1" applyFill="1" applyBorder="1" applyAlignment="1">
      <alignment horizontal="center" vertical="center" wrapText="1"/>
    </xf>
    <xf numFmtId="0" fontId="68" fillId="35" borderId="98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 applyProtection="1">
      <alignment horizontal="center" vertical="center" wrapText="1"/>
      <protection/>
    </xf>
    <xf numFmtId="4" fontId="57" fillId="0" borderId="98" xfId="0" applyNumberFormat="1" applyFont="1" applyBorder="1" applyAlignment="1">
      <alignment horizontal="center" vertical="center" wrapText="1"/>
    </xf>
    <xf numFmtId="4" fontId="7" fillId="35" borderId="45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93" xfId="0" applyFont="1" applyFill="1" applyBorder="1" applyAlignment="1" applyProtection="1">
      <alignment horizontal="center" vertical="center" wrapText="1"/>
      <protection locked="0"/>
    </xf>
    <xf numFmtId="0" fontId="7" fillId="35" borderId="131" xfId="0" applyFont="1" applyFill="1" applyBorder="1" applyAlignment="1" applyProtection="1">
      <alignment horizontal="center" vertical="center" wrapText="1"/>
      <protection locked="0"/>
    </xf>
    <xf numFmtId="4" fontId="7" fillId="35" borderId="93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86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68" xfId="0" applyFont="1" applyFill="1" applyBorder="1" applyAlignment="1" applyProtection="1">
      <alignment horizontal="center" vertical="center" wrapText="1"/>
      <protection locked="0"/>
    </xf>
    <xf numFmtId="4" fontId="7" fillId="35" borderId="13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33" xfId="0" applyFont="1" applyFill="1" applyBorder="1" applyAlignment="1" applyProtection="1">
      <alignment horizontal="center" vertical="center" wrapText="1"/>
      <protection locked="0"/>
    </xf>
    <xf numFmtId="0" fontId="7" fillId="35" borderId="134" xfId="0" applyFont="1" applyFill="1" applyBorder="1" applyAlignment="1" applyProtection="1">
      <alignment horizontal="center" vertical="center" wrapText="1"/>
      <protection locked="0"/>
    </xf>
    <xf numFmtId="0" fontId="57" fillId="0" borderId="135" xfId="0" applyFont="1" applyFill="1" applyBorder="1" applyAlignment="1" applyProtection="1">
      <alignment horizontal="left" vertical="top" wrapText="1"/>
      <protection locked="0"/>
    </xf>
    <xf numFmtId="0" fontId="69" fillId="0" borderId="78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93" xfId="0" applyFont="1" applyBorder="1" applyAlignment="1">
      <alignment horizontal="center" vertical="top" wrapText="1"/>
    </xf>
    <xf numFmtId="0" fontId="57" fillId="0" borderId="7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93" xfId="0" applyFont="1" applyBorder="1" applyAlignment="1">
      <alignment horizontal="center" vertical="center" wrapText="1"/>
    </xf>
    <xf numFmtId="0" fontId="7" fillId="0" borderId="8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93" xfId="0" applyFont="1" applyBorder="1" applyAlignment="1" applyProtection="1">
      <alignment horizontal="center" vertical="center" wrapText="1"/>
      <protection locked="0"/>
    </xf>
    <xf numFmtId="0" fontId="7" fillId="0" borderId="1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61" fillId="0" borderId="124" xfId="0" applyFont="1" applyBorder="1" applyAlignment="1">
      <alignment horizontal="center" vertical="center" wrapText="1"/>
    </xf>
    <xf numFmtId="0" fontId="61" fillId="0" borderId="88" xfId="0" applyFont="1" applyBorder="1" applyAlignment="1">
      <alignment horizontal="center" vertical="center" wrapText="1"/>
    </xf>
    <xf numFmtId="0" fontId="61" fillId="0" borderId="94" xfId="0" applyFont="1" applyBorder="1" applyAlignment="1">
      <alignment horizontal="center" vertical="center" wrapText="1"/>
    </xf>
    <xf numFmtId="0" fontId="7" fillId="0" borderId="137" xfId="0" applyFont="1" applyBorder="1" applyAlignment="1" applyProtection="1">
      <alignment horizontal="center" vertical="center" wrapText="1"/>
      <protection locked="0"/>
    </xf>
    <xf numFmtId="0" fontId="7" fillId="0" borderId="138" xfId="0" applyFont="1" applyBorder="1" applyAlignment="1" applyProtection="1">
      <alignment horizontal="center" vertical="center" wrapText="1"/>
      <protection locked="0"/>
    </xf>
    <xf numFmtId="0" fontId="7" fillId="35" borderId="139" xfId="0" applyFont="1" applyFill="1" applyBorder="1" applyAlignment="1">
      <alignment horizontal="left" vertical="center" wrapText="1"/>
    </xf>
    <xf numFmtId="0" fontId="7" fillId="35" borderId="140" xfId="0" applyFont="1" applyFill="1" applyBorder="1" applyAlignment="1">
      <alignment horizontal="left" vertical="center" wrapText="1"/>
    </xf>
    <xf numFmtId="0" fontId="7" fillId="35" borderId="68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4" fontId="7" fillId="0" borderId="42" xfId="0" applyNumberFormat="1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141" xfId="0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4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141" xfId="0" applyFont="1" applyBorder="1" applyAlignment="1">
      <alignment horizontal="left" vertical="center" wrapText="1"/>
    </xf>
    <xf numFmtId="0" fontId="7" fillId="35" borderId="86" xfId="0" applyFont="1" applyFill="1" applyBorder="1" applyAlignment="1" applyProtection="1">
      <alignment horizontal="center" vertical="center" wrapText="1"/>
      <protection locked="0"/>
    </xf>
    <xf numFmtId="4" fontId="57" fillId="0" borderId="143" xfId="0" applyNumberFormat="1" applyFont="1" applyBorder="1" applyAlignment="1">
      <alignment horizontal="center" vertical="center" wrapText="1"/>
    </xf>
    <xf numFmtId="4" fontId="57" fillId="35" borderId="131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left" vertical="center" wrapText="1"/>
    </xf>
    <xf numFmtId="0" fontId="7" fillId="0" borderId="144" xfId="0" applyFont="1" applyBorder="1" applyAlignment="1" applyProtection="1">
      <alignment horizontal="center" vertical="center" wrapText="1"/>
      <protection locked="0"/>
    </xf>
    <xf numFmtId="4" fontId="7" fillId="0" borderId="41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35" borderId="45" xfId="0" applyFont="1" applyFill="1" applyBorder="1" applyAlignment="1">
      <alignment horizontal="left" vertical="center" wrapText="1"/>
    </xf>
    <xf numFmtId="0" fontId="3" fillId="35" borderId="64" xfId="0" applyFont="1" applyFill="1" applyBorder="1" applyAlignment="1">
      <alignment horizontal="left" vertical="center" wrapText="1"/>
    </xf>
    <xf numFmtId="0" fontId="8" fillId="0" borderId="137" xfId="0" applyFont="1" applyBorder="1" applyAlignment="1" applyProtection="1">
      <alignment horizontal="center" vertical="center" wrapText="1"/>
      <protection locked="0"/>
    </xf>
    <xf numFmtId="0" fontId="8" fillId="0" borderId="14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35" borderId="86" xfId="0" applyFont="1" applyFill="1" applyBorder="1" applyAlignment="1">
      <alignment horizontal="left" vertical="center" wrapText="1"/>
    </xf>
    <xf numFmtId="0" fontId="4" fillId="35" borderId="68" xfId="0" applyFont="1" applyFill="1" applyBorder="1" applyAlignment="1">
      <alignment horizontal="left" vertical="center" wrapText="1"/>
    </xf>
    <xf numFmtId="4" fontId="58" fillId="0" borderId="26" xfId="0" applyNumberFormat="1" applyFont="1" applyBorder="1" applyAlignment="1">
      <alignment horizontal="center" vertical="center" wrapText="1"/>
    </xf>
    <xf numFmtId="4" fontId="58" fillId="0" borderId="31" xfId="0" applyNumberFormat="1" applyFont="1" applyBorder="1" applyAlignment="1">
      <alignment horizontal="center" vertical="center" wrapText="1"/>
    </xf>
    <xf numFmtId="4" fontId="58" fillId="0" borderId="143" xfId="0" applyNumberFormat="1" applyFont="1" applyBorder="1" applyAlignment="1">
      <alignment horizontal="center" vertical="center" wrapText="1"/>
    </xf>
    <xf numFmtId="4" fontId="58" fillId="35" borderId="86" xfId="0" applyNumberFormat="1" applyFont="1" applyFill="1" applyBorder="1" applyAlignment="1">
      <alignment horizontal="center" vertical="center" wrapText="1"/>
    </xf>
    <xf numFmtId="4" fontId="58" fillId="35" borderId="134" xfId="0" applyNumberFormat="1" applyFont="1" applyFill="1" applyBorder="1" applyAlignment="1">
      <alignment horizontal="center" vertical="center" wrapText="1"/>
    </xf>
    <xf numFmtId="4" fontId="58" fillId="35" borderId="45" xfId="0" applyNumberFormat="1" applyFont="1" applyFill="1" applyBorder="1" applyAlignment="1">
      <alignment horizontal="center" vertical="center" wrapText="1"/>
    </xf>
    <xf numFmtId="4" fontId="58" fillId="35" borderId="64" xfId="0" applyNumberFormat="1" applyFont="1" applyFill="1" applyBorder="1" applyAlignment="1">
      <alignment horizontal="center" vertical="center" wrapText="1"/>
    </xf>
    <xf numFmtId="4" fontId="57" fillId="35" borderId="86" xfId="0" applyNumberFormat="1" applyFont="1" applyFill="1" applyBorder="1" applyAlignment="1">
      <alignment horizontal="center" vertical="center" wrapText="1"/>
    </xf>
    <xf numFmtId="4" fontId="57" fillId="35" borderId="140" xfId="0" applyNumberFormat="1" applyFont="1" applyFill="1" applyBorder="1" applyAlignment="1">
      <alignment horizontal="center" vertical="center" wrapText="1"/>
    </xf>
    <xf numFmtId="4" fontId="57" fillId="35" borderId="68" xfId="0" applyNumberFormat="1" applyFont="1" applyFill="1" applyBorder="1" applyAlignment="1">
      <alignment horizontal="center" vertical="center" wrapText="1"/>
    </xf>
    <xf numFmtId="0" fontId="2" fillId="0" borderId="82" xfId="0" applyFont="1" applyBorder="1" applyAlignment="1" applyProtection="1">
      <alignment horizontal="center" vertical="center" wrapText="1"/>
      <protection locked="0"/>
    </xf>
    <xf numFmtId="0" fontId="2" fillId="0" borderId="146" xfId="0" applyFont="1" applyBorder="1" applyAlignment="1" applyProtection="1">
      <alignment horizontal="center" vertical="center" wrapText="1"/>
      <protection locked="0"/>
    </xf>
    <xf numFmtId="4" fontId="58" fillId="0" borderId="19" xfId="0" applyNumberFormat="1" applyFont="1" applyBorder="1" applyAlignment="1">
      <alignment horizontal="center" vertical="center" wrapText="1"/>
    </xf>
    <xf numFmtId="4" fontId="58" fillId="0" borderId="147" xfId="0" applyNumberFormat="1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top" wrapText="1"/>
    </xf>
    <xf numFmtId="0" fontId="9" fillId="0" borderId="85" xfId="0" applyFont="1" applyBorder="1" applyAlignment="1" applyProtection="1">
      <alignment horizontal="center" vertical="center" wrapText="1"/>
      <protection locked="0"/>
    </xf>
    <xf numFmtId="0" fontId="9" fillId="0" borderId="105" xfId="0" applyFont="1" applyBorder="1" applyAlignment="1" applyProtection="1">
      <alignment horizontal="center" vertical="center" wrapText="1"/>
      <protection locked="0"/>
    </xf>
    <xf numFmtId="0" fontId="9" fillId="0" borderId="84" xfId="0" applyFont="1" applyBorder="1" applyAlignment="1" applyProtection="1">
      <alignment horizontal="center" vertical="center" wrapText="1"/>
      <protection locked="0"/>
    </xf>
    <xf numFmtId="4" fontId="57" fillId="0" borderId="78" xfId="0" applyNumberFormat="1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4" fontId="57" fillId="0" borderId="101" xfId="0" applyNumberFormat="1" applyFont="1" applyBorder="1" applyAlignment="1">
      <alignment horizontal="center" vertical="center" wrapText="1"/>
    </xf>
    <xf numFmtId="0" fontId="57" fillId="0" borderId="149" xfId="0" applyFont="1" applyBorder="1" applyAlignment="1">
      <alignment horizontal="left" vertical="top" wrapText="1"/>
    </xf>
    <xf numFmtId="0" fontId="57" fillId="0" borderId="150" xfId="0" applyFont="1" applyBorder="1" applyAlignment="1">
      <alignment horizontal="left" vertical="top" wrapText="1"/>
    </xf>
    <xf numFmtId="0" fontId="57" fillId="0" borderId="151" xfId="0" applyFont="1" applyBorder="1" applyAlignment="1">
      <alignment horizontal="left" vertical="top" wrapText="1"/>
    </xf>
    <xf numFmtId="0" fontId="57" fillId="0" borderId="124" xfId="0" applyFont="1" applyBorder="1" applyAlignment="1" applyProtection="1">
      <alignment horizontal="left" vertical="top" wrapText="1"/>
      <protection locked="0"/>
    </xf>
    <xf numFmtId="0" fontId="57" fillId="0" borderId="125" xfId="0" applyFont="1" applyBorder="1" applyAlignment="1" applyProtection="1">
      <alignment horizontal="left" vertical="top" wrapText="1"/>
      <protection locked="0"/>
    </xf>
    <xf numFmtId="0" fontId="57" fillId="0" borderId="103" xfId="0" applyFont="1" applyBorder="1" applyAlignment="1" applyProtection="1">
      <alignment horizontal="left" vertical="top" wrapText="1"/>
      <protection locked="0"/>
    </xf>
    <xf numFmtId="0" fontId="57" fillId="0" borderId="88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104" xfId="0" applyFont="1" applyBorder="1" applyAlignment="1" applyProtection="1">
      <alignment horizontal="left" vertical="top" wrapText="1"/>
      <protection locked="0"/>
    </xf>
    <xf numFmtId="0" fontId="57" fillId="0" borderId="152" xfId="0" applyFont="1" applyBorder="1" applyAlignment="1" applyProtection="1">
      <alignment horizontal="left" vertical="top" wrapText="1"/>
      <protection locked="0"/>
    </xf>
    <xf numFmtId="0" fontId="57" fillId="0" borderId="133" xfId="0" applyFont="1" applyBorder="1" applyAlignment="1" applyProtection="1">
      <alignment horizontal="left" vertical="top" wrapText="1"/>
      <protection locked="0"/>
    </xf>
    <xf numFmtId="0" fontId="57" fillId="0" borderId="153" xfId="0" applyFont="1" applyBorder="1" applyAlignment="1" applyProtection="1">
      <alignment horizontal="left" vertical="top" wrapText="1"/>
      <protection locked="0"/>
    </xf>
    <xf numFmtId="0" fontId="57" fillId="0" borderId="122" xfId="0" applyFont="1" applyBorder="1" applyAlignment="1">
      <alignment horizontal="left" vertical="top" wrapText="1"/>
    </xf>
    <xf numFmtId="0" fontId="57" fillId="0" borderId="123" xfId="0" applyFont="1" applyBorder="1" applyAlignment="1">
      <alignment horizontal="left" vertical="top" wrapText="1"/>
    </xf>
    <xf numFmtId="0" fontId="57" fillId="0" borderId="80" xfId="0" applyFont="1" applyBorder="1" applyAlignment="1">
      <alignment horizontal="left" vertical="top" wrapText="1"/>
    </xf>
    <xf numFmtId="0" fontId="57" fillId="0" borderId="84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7" fillId="0" borderId="85" xfId="0" applyFont="1" applyBorder="1" applyAlignment="1">
      <alignment horizontal="center" vertical="center" wrapText="1"/>
    </xf>
    <xf numFmtId="0" fontId="57" fillId="0" borderId="106" xfId="0" applyFont="1" applyBorder="1" applyAlignment="1">
      <alignment horizontal="left" vertical="top" wrapText="1"/>
    </xf>
    <xf numFmtId="0" fontId="57" fillId="0" borderId="107" xfId="0" applyFont="1" applyBorder="1" applyAlignment="1">
      <alignment horizontal="left" vertical="top" wrapText="1"/>
    </xf>
    <xf numFmtId="0" fontId="57" fillId="0" borderId="108" xfId="0" applyFont="1" applyBorder="1" applyAlignment="1">
      <alignment horizontal="left" vertical="top" wrapText="1"/>
    </xf>
    <xf numFmtId="0" fontId="57" fillId="0" borderId="29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left" vertical="center" wrapText="1"/>
    </xf>
    <xf numFmtId="0" fontId="57" fillId="0" borderId="154" xfId="0" applyFont="1" applyBorder="1" applyAlignment="1">
      <alignment horizontal="left" vertical="center" wrapText="1"/>
    </xf>
    <xf numFmtId="4" fontId="57" fillId="0" borderId="36" xfId="0" applyNumberFormat="1" applyFont="1" applyBorder="1" applyAlignment="1">
      <alignment horizontal="center" vertical="center" wrapText="1"/>
    </xf>
    <xf numFmtId="4" fontId="58" fillId="35" borderId="65" xfId="0" applyNumberFormat="1" applyFont="1" applyFill="1" applyBorder="1" applyAlignment="1">
      <alignment horizontal="center" vertical="center" wrapText="1"/>
    </xf>
    <xf numFmtId="4" fontId="58" fillId="35" borderId="155" xfId="0" applyNumberFormat="1" applyFont="1" applyFill="1" applyBorder="1" applyAlignment="1">
      <alignment horizontal="center" vertical="center" wrapText="1"/>
    </xf>
    <xf numFmtId="0" fontId="68" fillId="11" borderId="156" xfId="0" applyFont="1" applyFill="1" applyBorder="1" applyAlignment="1">
      <alignment horizontal="center" vertical="center" wrapText="1"/>
    </xf>
    <xf numFmtId="0" fontId="68" fillId="11" borderId="105" xfId="0" applyFont="1" applyFill="1" applyBorder="1" applyAlignment="1">
      <alignment horizontal="center" vertical="center" wrapText="1"/>
    </xf>
    <xf numFmtId="0" fontId="68" fillId="11" borderId="54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right" vertical="top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 applyProtection="1">
      <alignment horizontal="center" vertical="top"/>
      <protection locked="0"/>
    </xf>
    <xf numFmtId="0" fontId="57" fillId="0" borderId="157" xfId="0" applyFont="1" applyBorder="1" applyAlignment="1">
      <alignment horizontal="center" vertical="center" wrapText="1"/>
    </xf>
    <xf numFmtId="0" fontId="57" fillId="0" borderId="158" xfId="0" applyFont="1" applyBorder="1" applyAlignment="1">
      <alignment horizontal="center" vertical="center" wrapText="1"/>
    </xf>
    <xf numFmtId="0" fontId="57" fillId="0" borderId="159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160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68" fillId="0" borderId="156" xfId="0" applyFont="1" applyBorder="1" applyAlignment="1">
      <alignment horizontal="center" vertical="center" wrapText="1"/>
    </xf>
    <xf numFmtId="0" fontId="68" fillId="0" borderId="105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161" xfId="0" applyFont="1" applyBorder="1" applyAlignment="1" applyProtection="1">
      <alignment horizontal="left" vertical="center" wrapText="1"/>
      <protection locked="0"/>
    </xf>
    <xf numFmtId="0" fontId="68" fillId="12" borderId="156" xfId="0" applyFont="1" applyFill="1" applyBorder="1" applyAlignment="1">
      <alignment horizontal="center" vertical="center" wrapText="1"/>
    </xf>
    <xf numFmtId="0" fontId="68" fillId="12" borderId="105" xfId="0" applyFont="1" applyFill="1" applyBorder="1" applyAlignment="1">
      <alignment horizontal="center" vertical="center" wrapText="1"/>
    </xf>
    <xf numFmtId="0" fontId="68" fillId="12" borderId="54" xfId="0" applyFont="1" applyFill="1" applyBorder="1" applyAlignment="1">
      <alignment horizontal="center" vertical="center" wrapText="1"/>
    </xf>
    <xf numFmtId="0" fontId="68" fillId="10" borderId="156" xfId="0" applyFont="1" applyFill="1" applyBorder="1" applyAlignment="1">
      <alignment horizontal="center" vertical="center" wrapText="1"/>
    </xf>
    <xf numFmtId="0" fontId="68" fillId="10" borderId="105" xfId="0" applyFont="1" applyFill="1" applyBorder="1" applyAlignment="1">
      <alignment horizontal="center" vertical="center" wrapText="1"/>
    </xf>
    <xf numFmtId="0" fontId="68" fillId="10" borderId="5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6" fillId="0" borderId="162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0" fontId="3" fillId="0" borderId="165" xfId="0" applyFont="1" applyBorder="1" applyAlignment="1">
      <alignment horizontal="center" vertical="center" wrapText="1"/>
    </xf>
    <xf numFmtId="0" fontId="3" fillId="0" borderId="166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7" fillId="0" borderId="7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75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right" vertical="center" wrapText="1"/>
    </xf>
    <xf numFmtId="0" fontId="57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15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76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2" fillId="37" borderId="156" xfId="0" applyFont="1" applyFill="1" applyBorder="1" applyAlignment="1" applyProtection="1">
      <alignment horizontal="center" vertical="top" wrapText="1"/>
      <protection locked="0"/>
    </xf>
    <xf numFmtId="0" fontId="2" fillId="37" borderId="105" xfId="0" applyFont="1" applyFill="1" applyBorder="1" applyAlignment="1" applyProtection="1">
      <alignment horizontal="center" vertical="top" wrapText="1"/>
      <protection locked="0"/>
    </xf>
    <xf numFmtId="0" fontId="2" fillId="37" borderId="54" xfId="0" applyFont="1" applyFill="1" applyBorder="1" applyAlignment="1" applyProtection="1">
      <alignment horizontal="center" vertical="top" wrapText="1"/>
      <protection locked="0"/>
    </xf>
    <xf numFmtId="0" fontId="3" fillId="0" borderId="159" xfId="0" applyFont="1" applyBorder="1" applyAlignment="1" applyProtection="1">
      <alignment horizontal="center" vertical="top" wrapText="1"/>
      <protection/>
    </xf>
    <xf numFmtId="0" fontId="3" fillId="0" borderId="71" xfId="0" applyFont="1" applyBorder="1" applyAlignment="1" applyProtection="1">
      <alignment horizontal="center" vertical="top" wrapText="1"/>
      <protection/>
    </xf>
    <xf numFmtId="0" fontId="3" fillId="0" borderId="55" xfId="0" applyFont="1" applyBorder="1" applyAlignment="1" applyProtection="1">
      <alignment horizontal="center" vertical="top" wrapText="1"/>
      <protection/>
    </xf>
    <xf numFmtId="0" fontId="4" fillId="34" borderId="160" xfId="0" applyFont="1" applyFill="1" applyBorder="1" applyAlignment="1">
      <alignment horizontal="right" vertical="center"/>
    </xf>
    <xf numFmtId="0" fontId="4" fillId="34" borderId="70" xfId="0" applyFont="1" applyFill="1" applyBorder="1" applyAlignment="1">
      <alignment horizontal="right" vertical="center"/>
    </xf>
    <xf numFmtId="0" fontId="4" fillId="34" borderId="56" xfId="0" applyFont="1" applyFill="1" applyBorder="1" applyAlignment="1">
      <alignment horizontal="right" vertical="center"/>
    </xf>
    <xf numFmtId="0" fontId="3" fillId="0" borderId="157" xfId="0" applyFont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3" fillId="0" borderId="99" xfId="0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" fillId="38" borderId="156" xfId="0" applyFont="1" applyFill="1" applyBorder="1" applyAlignment="1" applyProtection="1">
      <alignment horizontal="center" vertical="top" wrapText="1"/>
      <protection locked="0"/>
    </xf>
    <xf numFmtId="0" fontId="2" fillId="38" borderId="105" xfId="0" applyFont="1" applyFill="1" applyBorder="1" applyAlignment="1" applyProtection="1">
      <alignment horizontal="center" vertical="top" wrapText="1"/>
      <protection locked="0"/>
    </xf>
    <xf numFmtId="0" fontId="2" fillId="38" borderId="54" xfId="0" applyFont="1" applyFill="1" applyBorder="1" applyAlignment="1" applyProtection="1">
      <alignment horizontal="center" vertical="top" wrapText="1"/>
      <protection locked="0"/>
    </xf>
    <xf numFmtId="0" fontId="2" fillId="0" borderId="156" xfId="0" applyFont="1" applyFill="1" applyBorder="1" applyAlignment="1" applyProtection="1">
      <alignment horizontal="center" vertical="top" wrapText="1"/>
      <protection locked="0"/>
    </xf>
    <xf numFmtId="0" fontId="2" fillId="0" borderId="105" xfId="0" applyFont="1" applyFill="1" applyBorder="1" applyAlignment="1" applyProtection="1">
      <alignment horizontal="center" vertical="top" wrapText="1"/>
      <protection locked="0"/>
    </xf>
    <xf numFmtId="0" fontId="2" fillId="0" borderId="54" xfId="0" applyFont="1" applyFill="1" applyBorder="1" applyAlignment="1" applyProtection="1">
      <alignment horizontal="center" vertical="top" wrapText="1"/>
      <protection locked="0"/>
    </xf>
    <xf numFmtId="0" fontId="2" fillId="39" borderId="156" xfId="0" applyFont="1" applyFill="1" applyBorder="1" applyAlignment="1" applyProtection="1">
      <alignment horizontal="center" vertical="top" wrapText="1"/>
      <protection locked="0"/>
    </xf>
    <xf numFmtId="0" fontId="2" fillId="39" borderId="105" xfId="0" applyFont="1" applyFill="1" applyBorder="1" applyAlignment="1" applyProtection="1">
      <alignment horizontal="center" vertical="top" wrapText="1"/>
      <protection locked="0"/>
    </xf>
    <xf numFmtId="0" fontId="2" fillId="39" borderId="54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41" xfId="0" applyFont="1" applyBorder="1" applyAlignment="1" applyProtection="1">
      <alignment horizontal="center" vertical="center" wrapText="1"/>
      <protection/>
    </xf>
    <xf numFmtId="0" fontId="57" fillId="0" borderId="71" xfId="0" applyFont="1" applyBorder="1" applyAlignment="1">
      <alignment/>
    </xf>
    <xf numFmtId="4" fontId="58" fillId="0" borderId="71" xfId="0" applyNumberFormat="1" applyFont="1" applyBorder="1" applyAlignment="1">
      <alignment/>
    </xf>
    <xf numFmtId="0" fontId="57" fillId="0" borderId="71" xfId="0" applyFont="1" applyFill="1" applyBorder="1" applyAlignment="1">
      <alignment horizontal="center" vertical="center" wrapText="1"/>
    </xf>
    <xf numFmtId="4" fontId="58" fillId="0" borderId="71" xfId="0" applyNumberFormat="1" applyFont="1" applyBorder="1" applyAlignment="1">
      <alignment horizontal="center" vertical="center"/>
    </xf>
    <xf numFmtId="4" fontId="7" fillId="0" borderId="71" xfId="0" applyNumberFormat="1" applyFont="1" applyBorder="1" applyAlignment="1">
      <alignment horizontal="center" vertical="center"/>
    </xf>
    <xf numFmtId="0" fontId="58" fillId="0" borderId="71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58" fillId="0" borderId="71" xfId="0" applyFont="1" applyBorder="1" applyAlignment="1">
      <alignment horizontal="left" vertical="center"/>
    </xf>
    <xf numFmtId="0" fontId="57" fillId="0" borderId="0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view="pageBreakPreview" zoomScale="60" zoomScaleNormal="60" zoomScalePageLayoutView="0" workbookViewId="0" topLeftCell="A65">
      <selection activeCell="K89" sqref="K89"/>
    </sheetView>
  </sheetViews>
  <sheetFormatPr defaultColWidth="9.140625" defaultRowHeight="15"/>
  <cols>
    <col min="1" max="1" width="48.140625" style="178" customWidth="1"/>
    <col min="2" max="18" width="12.7109375" style="178" customWidth="1"/>
    <col min="19" max="16384" width="9.140625" style="178" customWidth="1"/>
  </cols>
  <sheetData>
    <row r="1" spans="14:18" ht="18.75">
      <c r="N1" s="353" t="s">
        <v>125</v>
      </c>
      <c r="O1" s="353"/>
      <c r="P1" s="353"/>
      <c r="Q1" s="353"/>
      <c r="R1" s="353"/>
    </row>
    <row r="2" spans="2:18" ht="18.75" customHeight="1">
      <c r="B2" s="188"/>
      <c r="C2" s="189"/>
      <c r="E2" s="190" t="s">
        <v>1</v>
      </c>
      <c r="F2" s="356" t="s">
        <v>144</v>
      </c>
      <c r="G2" s="356"/>
      <c r="H2" s="356"/>
      <c r="I2" s="356"/>
      <c r="J2" s="356"/>
      <c r="K2" s="356"/>
      <c r="L2" s="356"/>
      <c r="M2" s="356"/>
      <c r="N2" s="354" t="s">
        <v>2</v>
      </c>
      <c r="O2" s="354"/>
      <c r="P2" s="355" t="s">
        <v>240</v>
      </c>
      <c r="Q2" s="355"/>
      <c r="R2" s="188" t="s">
        <v>4</v>
      </c>
    </row>
    <row r="3" spans="1:15" ht="18.7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18.7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</row>
    <row r="5" spans="1:18" s="180" customFormat="1" ht="18.75">
      <c r="A5" s="324" t="s">
        <v>126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</row>
    <row r="6" spans="1:18" s="180" customFormat="1" ht="18.75">
      <c r="A6" s="324" t="s">
        <v>145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</row>
    <row r="7" spans="1:18" s="180" customFormat="1" ht="18.75">
      <c r="A7" s="325" t="str">
        <f>F2</f>
        <v>филиала "Верхнетагильская ГРЭС" ОАО "ИНТЕР РАО - Электрогенерация"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</row>
    <row r="8" spans="1:18" s="180" customFormat="1" ht="18.75">
      <c r="A8" s="325" t="s">
        <v>241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</row>
    <row r="9" ht="19.5" thickBot="1"/>
    <row r="10" spans="1:18" ht="41.25" customHeight="1" thickBot="1" thickTop="1">
      <c r="A10" s="181" t="s">
        <v>127</v>
      </c>
      <c r="B10" s="326" t="s">
        <v>242</v>
      </c>
      <c r="C10" s="326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8"/>
    </row>
    <row r="11" spans="1:18" ht="45.75" customHeight="1" thickBot="1">
      <c r="A11" s="182" t="s">
        <v>128</v>
      </c>
      <c r="B11" s="321" t="s">
        <v>146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3"/>
    </row>
    <row r="12" spans="1:18" ht="18.75" customHeight="1">
      <c r="A12" s="498" t="s">
        <v>129</v>
      </c>
      <c r="B12" s="489" t="s">
        <v>147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1"/>
    </row>
    <row r="13" spans="1:18" ht="409.5" customHeight="1">
      <c r="A13" s="499"/>
      <c r="B13" s="492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4"/>
    </row>
    <row r="14" spans="1:18" ht="97.5" customHeight="1" thickBot="1">
      <c r="A14" s="500"/>
      <c r="B14" s="495"/>
      <c r="C14" s="496"/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7"/>
    </row>
    <row r="15" spans="1:18" ht="19.5" thickBot="1">
      <c r="A15" s="183" t="s">
        <v>130</v>
      </c>
      <c r="B15" s="332" t="s">
        <v>148</v>
      </c>
      <c r="C15" s="332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4"/>
    </row>
    <row r="16" spans="1:18" ht="37.5" customHeight="1">
      <c r="A16" s="498" t="s">
        <v>131</v>
      </c>
      <c r="B16" s="501" t="s">
        <v>149</v>
      </c>
      <c r="C16" s="502"/>
      <c r="D16" s="502"/>
      <c r="E16" s="502"/>
      <c r="F16" s="502" t="s">
        <v>150</v>
      </c>
      <c r="G16" s="502"/>
      <c r="H16" s="502"/>
      <c r="I16" s="502"/>
      <c r="J16" s="503" t="s">
        <v>151</v>
      </c>
      <c r="K16" s="335"/>
      <c r="L16" s="501"/>
      <c r="M16" s="335" t="s">
        <v>152</v>
      </c>
      <c r="N16" s="335"/>
      <c r="O16" s="335"/>
      <c r="P16" s="335"/>
      <c r="Q16" s="335"/>
      <c r="R16" s="336"/>
    </row>
    <row r="17" spans="1:18" ht="37.5" customHeight="1">
      <c r="A17" s="499"/>
      <c r="B17" s="337" t="s">
        <v>153</v>
      </c>
      <c r="C17" s="338"/>
      <c r="D17" s="338"/>
      <c r="E17" s="338"/>
      <c r="F17" s="338" t="s">
        <v>154</v>
      </c>
      <c r="G17" s="338"/>
      <c r="H17" s="338"/>
      <c r="I17" s="338"/>
      <c r="J17" s="329" t="s">
        <v>155</v>
      </c>
      <c r="K17" s="330"/>
      <c r="L17" s="331"/>
      <c r="M17" s="363" t="s">
        <v>156</v>
      </c>
      <c r="N17" s="363"/>
      <c r="O17" s="363"/>
      <c r="P17" s="363"/>
      <c r="Q17" s="363"/>
      <c r="R17" s="364"/>
    </row>
    <row r="18" spans="1:18" ht="37.5" customHeight="1">
      <c r="A18" s="499"/>
      <c r="B18" s="337" t="s">
        <v>157</v>
      </c>
      <c r="C18" s="338"/>
      <c r="D18" s="338"/>
      <c r="E18" s="338"/>
      <c r="F18" s="338" t="s">
        <v>158</v>
      </c>
      <c r="G18" s="338"/>
      <c r="H18" s="338"/>
      <c r="I18" s="338"/>
      <c r="J18" s="329" t="s">
        <v>159</v>
      </c>
      <c r="K18" s="330"/>
      <c r="L18" s="331"/>
      <c r="M18" s="363" t="s">
        <v>160</v>
      </c>
      <c r="N18" s="363"/>
      <c r="O18" s="363"/>
      <c r="P18" s="363"/>
      <c r="Q18" s="363"/>
      <c r="R18" s="364"/>
    </row>
    <row r="19" spans="1:18" ht="37.5" customHeight="1">
      <c r="A19" s="499"/>
      <c r="B19" s="337" t="s">
        <v>161</v>
      </c>
      <c r="C19" s="338"/>
      <c r="D19" s="338"/>
      <c r="E19" s="338"/>
      <c r="F19" s="338" t="s">
        <v>162</v>
      </c>
      <c r="G19" s="338"/>
      <c r="H19" s="338"/>
      <c r="I19" s="338"/>
      <c r="J19" s="329" t="s">
        <v>163</v>
      </c>
      <c r="K19" s="330"/>
      <c r="L19" s="331"/>
      <c r="M19" s="363" t="s">
        <v>164</v>
      </c>
      <c r="N19" s="363"/>
      <c r="O19" s="363"/>
      <c r="P19" s="363"/>
      <c r="Q19" s="363"/>
      <c r="R19" s="364"/>
    </row>
    <row r="20" spans="1:18" ht="37.5" customHeight="1">
      <c r="A20" s="499"/>
      <c r="B20" s="337" t="s">
        <v>165</v>
      </c>
      <c r="C20" s="338"/>
      <c r="D20" s="338"/>
      <c r="E20" s="338"/>
      <c r="F20" s="338" t="s">
        <v>166</v>
      </c>
      <c r="G20" s="338"/>
      <c r="H20" s="338"/>
      <c r="I20" s="338"/>
      <c r="J20" s="329" t="s">
        <v>167</v>
      </c>
      <c r="K20" s="330"/>
      <c r="L20" s="331"/>
      <c r="M20" s="363" t="s">
        <v>168</v>
      </c>
      <c r="N20" s="363"/>
      <c r="O20" s="363"/>
      <c r="P20" s="363"/>
      <c r="Q20" s="363"/>
      <c r="R20" s="364"/>
    </row>
    <row r="21" spans="1:18" ht="37.5" customHeight="1">
      <c r="A21" s="499"/>
      <c r="B21" s="337" t="s">
        <v>169</v>
      </c>
      <c r="C21" s="338"/>
      <c r="D21" s="338"/>
      <c r="E21" s="338"/>
      <c r="F21" s="338" t="s">
        <v>170</v>
      </c>
      <c r="G21" s="338"/>
      <c r="H21" s="338"/>
      <c r="I21" s="338"/>
      <c r="J21" s="329" t="s">
        <v>171</v>
      </c>
      <c r="K21" s="330"/>
      <c r="L21" s="331"/>
      <c r="M21" s="363" t="s">
        <v>172</v>
      </c>
      <c r="N21" s="363"/>
      <c r="O21" s="363"/>
      <c r="P21" s="363"/>
      <c r="Q21" s="363"/>
      <c r="R21" s="364"/>
    </row>
    <row r="22" spans="1:18" ht="37.5" customHeight="1">
      <c r="A22" s="499"/>
      <c r="B22" s="337" t="s">
        <v>173</v>
      </c>
      <c r="C22" s="338"/>
      <c r="D22" s="338"/>
      <c r="E22" s="338"/>
      <c r="F22" s="338" t="s">
        <v>174</v>
      </c>
      <c r="G22" s="338"/>
      <c r="H22" s="338"/>
      <c r="I22" s="338"/>
      <c r="J22" s="329" t="s">
        <v>175</v>
      </c>
      <c r="K22" s="330"/>
      <c r="L22" s="331"/>
      <c r="M22" s="363" t="s">
        <v>176</v>
      </c>
      <c r="N22" s="363"/>
      <c r="O22" s="363"/>
      <c r="P22" s="363"/>
      <c r="Q22" s="363"/>
      <c r="R22" s="364"/>
    </row>
    <row r="23" spans="1:18" ht="37.5" customHeight="1">
      <c r="A23" s="499"/>
      <c r="B23" s="337" t="s">
        <v>177</v>
      </c>
      <c r="C23" s="338"/>
      <c r="D23" s="338"/>
      <c r="E23" s="338"/>
      <c r="F23" s="338" t="s">
        <v>178</v>
      </c>
      <c r="G23" s="338"/>
      <c r="H23" s="338"/>
      <c r="I23" s="338"/>
      <c r="J23" s="329" t="s">
        <v>179</v>
      </c>
      <c r="K23" s="330"/>
      <c r="L23" s="331"/>
      <c r="M23" s="363" t="s">
        <v>172</v>
      </c>
      <c r="N23" s="363"/>
      <c r="O23" s="363"/>
      <c r="P23" s="363"/>
      <c r="Q23" s="363"/>
      <c r="R23" s="364"/>
    </row>
    <row r="24" spans="1:18" ht="37.5" customHeight="1">
      <c r="A24" s="499"/>
      <c r="B24" s="337" t="s">
        <v>180</v>
      </c>
      <c r="C24" s="338"/>
      <c r="D24" s="338"/>
      <c r="E24" s="338"/>
      <c r="F24" s="338" t="s">
        <v>181</v>
      </c>
      <c r="G24" s="338"/>
      <c r="H24" s="338"/>
      <c r="I24" s="338"/>
      <c r="J24" s="329" t="s">
        <v>182</v>
      </c>
      <c r="K24" s="330"/>
      <c r="L24" s="331"/>
      <c r="M24" s="363" t="s">
        <v>183</v>
      </c>
      <c r="N24" s="363"/>
      <c r="O24" s="363"/>
      <c r="P24" s="363"/>
      <c r="Q24" s="363"/>
      <c r="R24" s="364"/>
    </row>
    <row r="25" spans="1:18" ht="37.5" customHeight="1">
      <c r="A25" s="499"/>
      <c r="B25" s="337" t="s">
        <v>184</v>
      </c>
      <c r="C25" s="338"/>
      <c r="D25" s="338"/>
      <c r="E25" s="338"/>
      <c r="F25" s="338" t="s">
        <v>185</v>
      </c>
      <c r="G25" s="338"/>
      <c r="H25" s="338"/>
      <c r="I25" s="338"/>
      <c r="J25" s="329" t="s">
        <v>186</v>
      </c>
      <c r="K25" s="330"/>
      <c r="L25" s="331"/>
      <c r="M25" s="363" t="s">
        <v>187</v>
      </c>
      <c r="N25" s="363"/>
      <c r="O25" s="363"/>
      <c r="P25" s="363"/>
      <c r="Q25" s="363"/>
      <c r="R25" s="364"/>
    </row>
    <row r="26" spans="1:18" ht="37.5" customHeight="1">
      <c r="A26" s="499"/>
      <c r="B26" s="337" t="s">
        <v>188</v>
      </c>
      <c r="C26" s="338"/>
      <c r="D26" s="338"/>
      <c r="E26" s="338"/>
      <c r="F26" s="338" t="s">
        <v>189</v>
      </c>
      <c r="G26" s="338"/>
      <c r="H26" s="338"/>
      <c r="I26" s="338"/>
      <c r="J26" s="329" t="s">
        <v>175</v>
      </c>
      <c r="K26" s="330"/>
      <c r="L26" s="331"/>
      <c r="M26" s="363" t="s">
        <v>190</v>
      </c>
      <c r="N26" s="363"/>
      <c r="O26" s="363"/>
      <c r="P26" s="363"/>
      <c r="Q26" s="363"/>
      <c r="R26" s="364"/>
    </row>
    <row r="27" spans="1:18" ht="37.5" customHeight="1">
      <c r="A27" s="499"/>
      <c r="B27" s="337" t="s">
        <v>191</v>
      </c>
      <c r="C27" s="338"/>
      <c r="D27" s="338"/>
      <c r="E27" s="338"/>
      <c r="F27" s="338" t="s">
        <v>192</v>
      </c>
      <c r="G27" s="338"/>
      <c r="H27" s="338"/>
      <c r="I27" s="338"/>
      <c r="J27" s="329" t="s">
        <v>193</v>
      </c>
      <c r="K27" s="330"/>
      <c r="L27" s="331"/>
      <c r="M27" s="363" t="s">
        <v>194</v>
      </c>
      <c r="N27" s="363"/>
      <c r="O27" s="363"/>
      <c r="P27" s="363"/>
      <c r="Q27" s="363"/>
      <c r="R27" s="364"/>
    </row>
    <row r="28" spans="1:18" ht="37.5" customHeight="1">
      <c r="A28" s="499"/>
      <c r="B28" s="337" t="s">
        <v>195</v>
      </c>
      <c r="C28" s="338"/>
      <c r="D28" s="338"/>
      <c r="E28" s="338"/>
      <c r="F28" s="338" t="s">
        <v>196</v>
      </c>
      <c r="G28" s="338"/>
      <c r="H28" s="338"/>
      <c r="I28" s="338"/>
      <c r="J28" s="329" t="s">
        <v>197</v>
      </c>
      <c r="K28" s="330"/>
      <c r="L28" s="331"/>
      <c r="M28" s="363" t="s">
        <v>198</v>
      </c>
      <c r="N28" s="363"/>
      <c r="O28" s="363"/>
      <c r="P28" s="363"/>
      <c r="Q28" s="363"/>
      <c r="R28" s="364"/>
    </row>
    <row r="29" spans="1:18" ht="37.5" customHeight="1">
      <c r="A29" s="499"/>
      <c r="B29" s="337" t="s">
        <v>199</v>
      </c>
      <c r="C29" s="338"/>
      <c r="D29" s="338"/>
      <c r="E29" s="338"/>
      <c r="F29" s="338" t="s">
        <v>200</v>
      </c>
      <c r="G29" s="338"/>
      <c r="H29" s="338"/>
      <c r="I29" s="338"/>
      <c r="J29" s="329" t="s">
        <v>201</v>
      </c>
      <c r="K29" s="330"/>
      <c r="L29" s="331"/>
      <c r="M29" s="363" t="s">
        <v>202</v>
      </c>
      <c r="N29" s="363"/>
      <c r="O29" s="363"/>
      <c r="P29" s="363"/>
      <c r="Q29" s="363"/>
      <c r="R29" s="364"/>
    </row>
    <row r="30" spans="1:18" ht="37.5" customHeight="1">
      <c r="A30" s="499"/>
      <c r="B30" s="337" t="s">
        <v>203</v>
      </c>
      <c r="C30" s="338"/>
      <c r="D30" s="338"/>
      <c r="E30" s="338"/>
      <c r="F30" s="338" t="s">
        <v>204</v>
      </c>
      <c r="G30" s="338"/>
      <c r="H30" s="338"/>
      <c r="I30" s="338"/>
      <c r="J30" s="329" t="s">
        <v>205</v>
      </c>
      <c r="K30" s="330"/>
      <c r="L30" s="331"/>
      <c r="M30" s="363" t="s">
        <v>206</v>
      </c>
      <c r="N30" s="363"/>
      <c r="O30" s="363"/>
      <c r="P30" s="363"/>
      <c r="Q30" s="363"/>
      <c r="R30" s="364"/>
    </row>
    <row r="31" spans="1:18" ht="37.5" customHeight="1">
      <c r="A31" s="499"/>
      <c r="B31" s="337" t="s">
        <v>207</v>
      </c>
      <c r="C31" s="338"/>
      <c r="D31" s="338"/>
      <c r="E31" s="338"/>
      <c r="F31" s="338" t="s">
        <v>208</v>
      </c>
      <c r="G31" s="338"/>
      <c r="H31" s="338"/>
      <c r="I31" s="338"/>
      <c r="J31" s="329" t="s">
        <v>209</v>
      </c>
      <c r="K31" s="330"/>
      <c r="L31" s="331"/>
      <c r="M31" s="363" t="s">
        <v>210</v>
      </c>
      <c r="N31" s="363"/>
      <c r="O31" s="363"/>
      <c r="P31" s="363"/>
      <c r="Q31" s="363"/>
      <c r="R31" s="364"/>
    </row>
    <row r="32" spans="1:18" ht="37.5" customHeight="1" thickBot="1">
      <c r="A32" s="500"/>
      <c r="B32" s="507" t="s">
        <v>211</v>
      </c>
      <c r="C32" s="508"/>
      <c r="D32" s="508"/>
      <c r="E32" s="508"/>
      <c r="F32" s="508" t="s">
        <v>212</v>
      </c>
      <c r="G32" s="508"/>
      <c r="H32" s="508"/>
      <c r="I32" s="508"/>
      <c r="J32" s="509" t="s">
        <v>213</v>
      </c>
      <c r="K32" s="510"/>
      <c r="L32" s="511"/>
      <c r="M32" s="512" t="s">
        <v>214</v>
      </c>
      <c r="N32" s="512"/>
      <c r="O32" s="512"/>
      <c r="P32" s="512"/>
      <c r="Q32" s="512"/>
      <c r="R32" s="513"/>
    </row>
    <row r="33" spans="1:18" ht="133.5" customHeight="1" thickBot="1">
      <c r="A33" s="183" t="s">
        <v>132</v>
      </c>
      <c r="B33" s="357" t="s">
        <v>215</v>
      </c>
      <c r="C33" s="357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9"/>
    </row>
    <row r="34" spans="1:18" ht="117.75" customHeight="1" thickBot="1">
      <c r="A34" s="183" t="s">
        <v>133</v>
      </c>
      <c r="B34" s="360" t="s">
        <v>216</v>
      </c>
      <c r="C34" s="360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2"/>
    </row>
    <row r="35" spans="1:18" ht="156.75" customHeight="1" thickBot="1">
      <c r="A35" s="183" t="s">
        <v>134</v>
      </c>
      <c r="B35" s="339" t="s">
        <v>217</v>
      </c>
      <c r="C35" s="339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1"/>
    </row>
    <row r="36" spans="1:18" ht="84" customHeight="1" thickBot="1">
      <c r="A36" s="183" t="s">
        <v>135</v>
      </c>
      <c r="B36" s="365" t="s">
        <v>136</v>
      </c>
      <c r="C36" s="366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8"/>
    </row>
    <row r="37" spans="1:19" s="184" customFormat="1" ht="18.75">
      <c r="A37" s="369" t="s">
        <v>137</v>
      </c>
      <c r="B37" s="371" t="s">
        <v>138</v>
      </c>
      <c r="C37" s="372"/>
      <c r="D37" s="372"/>
      <c r="E37" s="373"/>
      <c r="F37" s="219" t="s">
        <v>139</v>
      </c>
      <c r="G37" s="374">
        <v>2014</v>
      </c>
      <c r="H37" s="375"/>
      <c r="I37" s="376"/>
      <c r="J37" s="396">
        <f>G37+1</f>
        <v>2015</v>
      </c>
      <c r="K37" s="397"/>
      <c r="L37" s="398"/>
      <c r="M37" s="396">
        <f>J37+1</f>
        <v>2016</v>
      </c>
      <c r="N37" s="397"/>
      <c r="O37" s="398"/>
      <c r="P37" s="397">
        <f>M37+1</f>
        <v>2017</v>
      </c>
      <c r="Q37" s="397"/>
      <c r="R37" s="397"/>
      <c r="S37" s="217"/>
    </row>
    <row r="38" spans="1:18" s="184" customFormat="1" ht="19.5">
      <c r="A38" s="370"/>
      <c r="B38" s="399" t="s">
        <v>70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1"/>
    </row>
    <row r="39" spans="1:19" s="184" customFormat="1" ht="36.75" customHeight="1">
      <c r="A39" s="370"/>
      <c r="B39" s="384" t="str">
        <f>'4. ПП'!B11</f>
        <v>Отпуск тепловой энергии с коллекторов</v>
      </c>
      <c r="C39" s="385"/>
      <c r="D39" s="385"/>
      <c r="E39" s="351"/>
      <c r="F39" s="238" t="str">
        <f>'4. ПП'!C11</f>
        <v>тыс. Гкал</v>
      </c>
      <c r="G39" s="348">
        <f>'4. ПП'!I11</f>
        <v>204.579</v>
      </c>
      <c r="H39" s="349"/>
      <c r="I39" s="349"/>
      <c r="J39" s="348">
        <f>'4. ПП'!J11</f>
        <v>200.747</v>
      </c>
      <c r="K39" s="349"/>
      <c r="L39" s="349"/>
      <c r="M39" s="348">
        <f>'4. ПП'!K11</f>
        <v>200.747</v>
      </c>
      <c r="N39" s="349"/>
      <c r="O39" s="349"/>
      <c r="P39" s="348">
        <f>'4. ПП'!L11</f>
        <v>200.747</v>
      </c>
      <c r="Q39" s="349"/>
      <c r="R39" s="402"/>
      <c r="S39" s="217"/>
    </row>
    <row r="40" spans="1:18" s="184" customFormat="1" ht="36.75" customHeight="1">
      <c r="A40" s="370"/>
      <c r="B40" s="384" t="str">
        <f>'4. ПП'!B14</f>
        <v>Удельный расход топлива на выработку тепловой энергии</v>
      </c>
      <c r="C40" s="385"/>
      <c r="D40" s="385"/>
      <c r="E40" s="351"/>
      <c r="F40" s="238" t="str">
        <f>'4. ПП'!C14</f>
        <v>кг/Гкал</v>
      </c>
      <c r="G40" s="348">
        <f>'4. ПП'!I14</f>
        <v>191.84</v>
      </c>
      <c r="H40" s="349"/>
      <c r="I40" s="349"/>
      <c r="J40" s="348">
        <f>'4. ПП'!J14</f>
        <v>192.29</v>
      </c>
      <c r="K40" s="349"/>
      <c r="L40" s="349"/>
      <c r="M40" s="348">
        <f>'4. ПП'!K14</f>
        <v>161</v>
      </c>
      <c r="N40" s="349"/>
      <c r="O40" s="349"/>
      <c r="P40" s="348">
        <f>'4. ПП'!L14</f>
        <v>161</v>
      </c>
      <c r="Q40" s="349"/>
      <c r="R40" s="350"/>
    </row>
    <row r="41" spans="1:19" s="184" customFormat="1" ht="36.75" customHeight="1">
      <c r="A41" s="370"/>
      <c r="B41" s="384" t="str">
        <f>'4. ПП'!B16</f>
        <v>Удельный расход э/э на выработку тепловой энергии</v>
      </c>
      <c r="C41" s="385"/>
      <c r="D41" s="385"/>
      <c r="E41" s="351"/>
      <c r="F41" s="238" t="str">
        <f>'4. ПП'!C16</f>
        <v>кВтч/Гкал</v>
      </c>
      <c r="G41" s="348">
        <f>'4. ПП'!I16</f>
        <v>74.81939006447436</v>
      </c>
      <c r="H41" s="349"/>
      <c r="I41" s="349"/>
      <c r="J41" s="348">
        <f>'4. ПП'!J16</f>
        <v>75.01</v>
      </c>
      <c r="K41" s="349"/>
      <c r="L41" s="349"/>
      <c r="M41" s="348">
        <f>'4. ПП'!K16</f>
        <v>78.79569806771508</v>
      </c>
      <c r="N41" s="349"/>
      <c r="O41" s="349"/>
      <c r="P41" s="348">
        <f>'4. ПП'!L16</f>
        <v>78.79569806771508</v>
      </c>
      <c r="Q41" s="349"/>
      <c r="R41" s="350"/>
      <c r="S41" s="218"/>
    </row>
    <row r="42" spans="1:18" s="184" customFormat="1" ht="36.75" customHeight="1">
      <c r="A42" s="370"/>
      <c r="B42" s="384" t="str">
        <f>'4. ПП'!B17</f>
        <v>Удельный расход реагентов, используемых для подготовки теплоносителя </v>
      </c>
      <c r="C42" s="385"/>
      <c r="D42" s="385"/>
      <c r="E42" s="351"/>
      <c r="F42" s="238" t="str">
        <f>'4. ПП'!C17</f>
        <v>г/м3</v>
      </c>
      <c r="G42" s="348">
        <f>'4. ПП'!I17</f>
        <v>1.73</v>
      </c>
      <c r="H42" s="349"/>
      <c r="I42" s="349"/>
      <c r="J42" s="348">
        <f>'4. ПП'!J17</f>
        <v>8.11</v>
      </c>
      <c r="K42" s="349"/>
      <c r="L42" s="349"/>
      <c r="M42" s="348">
        <f>'4. ПП'!K17</f>
        <v>8.11</v>
      </c>
      <c r="N42" s="349"/>
      <c r="O42" s="349"/>
      <c r="P42" s="348">
        <f>'4. ПП'!L17</f>
        <v>8.11</v>
      </c>
      <c r="Q42" s="349"/>
      <c r="R42" s="350"/>
    </row>
    <row r="43" spans="1:18" s="184" customFormat="1" ht="19.5">
      <c r="A43" s="370"/>
      <c r="B43" s="382" t="s">
        <v>71</v>
      </c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3"/>
    </row>
    <row r="44" spans="1:19" s="184" customFormat="1" ht="15.75">
      <c r="A44" s="370"/>
      <c r="B44" s="351" t="str">
        <f>'4. ПП'!B29</f>
        <v>Отпуск тепловой энергии в тепловую сеть</v>
      </c>
      <c r="C44" s="352"/>
      <c r="D44" s="352"/>
      <c r="E44" s="352"/>
      <c r="F44" s="238" t="str">
        <f>'4. ПП'!C29</f>
        <v>тыс. Гкал</v>
      </c>
      <c r="G44" s="348">
        <f>'4. ПП'!I29</f>
        <v>196.179</v>
      </c>
      <c r="H44" s="349"/>
      <c r="I44" s="349"/>
      <c r="J44" s="348">
        <f>'4. ПП'!J29</f>
        <v>192.401</v>
      </c>
      <c r="K44" s="349"/>
      <c r="L44" s="349"/>
      <c r="M44" s="348">
        <f>'4. ПП'!K29</f>
        <v>192.401</v>
      </c>
      <c r="N44" s="349"/>
      <c r="O44" s="349"/>
      <c r="P44" s="348">
        <f>'4. ПП'!L29</f>
        <v>192.401</v>
      </c>
      <c r="Q44" s="349"/>
      <c r="R44" s="350"/>
      <c r="S44" s="218"/>
    </row>
    <row r="45" spans="1:19" s="184" customFormat="1" ht="15.75">
      <c r="A45" s="370"/>
      <c r="B45" s="351" t="str">
        <f>'4. ПП'!B30</f>
        <v>Тепловые потери при транспортировке</v>
      </c>
      <c r="C45" s="352"/>
      <c r="D45" s="352"/>
      <c r="E45" s="352"/>
      <c r="F45" s="238" t="str">
        <f>'4. ПП'!C30</f>
        <v>тыс.Гкал</v>
      </c>
      <c r="G45" s="348">
        <f>'4. ПП'!I30</f>
        <v>60.33</v>
      </c>
      <c r="H45" s="349"/>
      <c r="I45" s="349"/>
      <c r="J45" s="348">
        <f>'4. ПП'!J30</f>
        <v>59.02</v>
      </c>
      <c r="K45" s="349"/>
      <c r="L45" s="349"/>
      <c r="M45" s="348">
        <f>'4. ПП'!K30</f>
        <v>59.02</v>
      </c>
      <c r="N45" s="349"/>
      <c r="O45" s="349"/>
      <c r="P45" s="348">
        <f>'4. ПП'!L30</f>
        <v>59.02</v>
      </c>
      <c r="Q45" s="349"/>
      <c r="R45" s="350"/>
      <c r="S45" s="218"/>
    </row>
    <row r="46" spans="1:19" s="184" customFormat="1" ht="15.75">
      <c r="A46" s="370"/>
      <c r="B46" s="351" t="str">
        <f>'4. ПП'!B33</f>
        <v>Отпуск (по приборам учета) </v>
      </c>
      <c r="C46" s="352"/>
      <c r="D46" s="352"/>
      <c r="E46" s="352"/>
      <c r="F46" s="238" t="str">
        <f>'4. ПП'!C33</f>
        <v>тыс.Гкал</v>
      </c>
      <c r="G46" s="348">
        <f>'4. ПП'!I33</f>
        <v>24.450376999999996</v>
      </c>
      <c r="H46" s="349"/>
      <c r="I46" s="349"/>
      <c r="J46" s="348">
        <f>'4. ПП'!J33</f>
        <v>24.450376999999996</v>
      </c>
      <c r="K46" s="349"/>
      <c r="L46" s="349"/>
      <c r="M46" s="348">
        <f>'4. ПП'!K33</f>
        <v>24.450376999999996</v>
      </c>
      <c r="N46" s="349"/>
      <c r="O46" s="349"/>
      <c r="P46" s="348">
        <f>'4. ПП'!L33</f>
        <v>24.450376999999996</v>
      </c>
      <c r="Q46" s="349"/>
      <c r="R46" s="350"/>
      <c r="S46" s="218"/>
    </row>
    <row r="47" spans="1:19" s="184" customFormat="1" ht="15.75">
      <c r="A47" s="370"/>
      <c r="B47" s="351" t="str">
        <f>'4. ПП'!B37</f>
        <v>Отпуск теплоносителя в сеть</v>
      </c>
      <c r="C47" s="352"/>
      <c r="D47" s="352"/>
      <c r="E47" s="352"/>
      <c r="F47" s="238" t="str">
        <f>'4. ПП'!C37</f>
        <v>тыс.куб.м.</v>
      </c>
      <c r="G47" s="348">
        <f>'4. ПП'!I37</f>
        <v>1397.4799999999996</v>
      </c>
      <c r="H47" s="349"/>
      <c r="I47" s="349"/>
      <c r="J47" s="348">
        <f>'4. ПП'!J37</f>
        <v>1397.4799999999996</v>
      </c>
      <c r="K47" s="349"/>
      <c r="L47" s="349"/>
      <c r="M47" s="348">
        <f>'4. ПП'!K37</f>
        <v>1397.4799999999996</v>
      </c>
      <c r="N47" s="349"/>
      <c r="O47" s="349"/>
      <c r="P47" s="348">
        <f>'4. ПП'!L37</f>
        <v>1397.4799999999996</v>
      </c>
      <c r="Q47" s="349"/>
      <c r="R47" s="350"/>
      <c r="S47" s="218"/>
    </row>
    <row r="48" spans="1:19" s="184" customFormat="1" ht="15.75">
      <c r="A48" s="370"/>
      <c r="B48" s="351" t="str">
        <f>'4. ПП'!B38</f>
        <v>Потери теплоносителя при транспортировке</v>
      </c>
      <c r="C48" s="352"/>
      <c r="D48" s="352"/>
      <c r="E48" s="352"/>
      <c r="F48" s="238" t="str">
        <f>'4. ПП'!C38</f>
        <v>тыс.куб.м.</v>
      </c>
      <c r="G48" s="348">
        <f>'4. ПП'!I38</f>
        <v>110.7435</v>
      </c>
      <c r="H48" s="349"/>
      <c r="I48" s="349"/>
      <c r="J48" s="348">
        <f>'4. ПП'!J38</f>
        <v>110.7435</v>
      </c>
      <c r="K48" s="349"/>
      <c r="L48" s="349"/>
      <c r="M48" s="348">
        <f>'4. ПП'!K38</f>
        <v>110.7435</v>
      </c>
      <c r="N48" s="349"/>
      <c r="O48" s="349"/>
      <c r="P48" s="348">
        <f>'4. ПП'!L38</f>
        <v>110.7435</v>
      </c>
      <c r="Q48" s="349"/>
      <c r="R48" s="350"/>
      <c r="S48" s="218"/>
    </row>
    <row r="49" spans="1:19" s="184" customFormat="1" ht="15.75">
      <c r="A49" s="370"/>
      <c r="B49" s="351" t="str">
        <f>'4. ПП'!B41</f>
        <v>Отпуск (по приборам учета) </v>
      </c>
      <c r="C49" s="352"/>
      <c r="D49" s="352"/>
      <c r="E49" s="352"/>
      <c r="F49" s="238" t="str">
        <f>'4. ПП'!C41</f>
        <v>тыс.куб.м.</v>
      </c>
      <c r="G49" s="348">
        <f>'4. ПП'!I41</f>
        <v>26.63</v>
      </c>
      <c r="H49" s="349"/>
      <c r="I49" s="349"/>
      <c r="J49" s="348">
        <f>'4. ПП'!J41</f>
        <v>26.63</v>
      </c>
      <c r="K49" s="349"/>
      <c r="L49" s="349"/>
      <c r="M49" s="348">
        <f>'4. ПП'!K41</f>
        <v>26.63</v>
      </c>
      <c r="N49" s="349"/>
      <c r="O49" s="349"/>
      <c r="P49" s="348">
        <f>'4. ПП'!L41</f>
        <v>26.63</v>
      </c>
      <c r="Q49" s="349"/>
      <c r="R49" s="350"/>
      <c r="S49" s="218"/>
    </row>
    <row r="50" spans="1:19" s="184" customFormat="1" ht="16.5" thickBot="1">
      <c r="A50" s="370"/>
      <c r="B50" s="377" t="str">
        <f>'4. ПП'!B44</f>
        <v>Удельный расход э/э на транспортировку тепловой энергии и теплоносителя</v>
      </c>
      <c r="C50" s="378"/>
      <c r="D50" s="378"/>
      <c r="E50" s="379"/>
      <c r="F50" s="248" t="str">
        <f>'4. ПП'!C44</f>
        <v>кВтч/Гкал</v>
      </c>
      <c r="G50" s="380">
        <f>'4. ПП'!I44</f>
        <v>7.273051651807787</v>
      </c>
      <c r="H50" s="381"/>
      <c r="I50" s="381"/>
      <c r="J50" s="380">
        <f>'4. ПП'!J44</f>
        <v>8.601398121631384</v>
      </c>
      <c r="K50" s="381"/>
      <c r="L50" s="381"/>
      <c r="M50" s="380">
        <f>'4. ПП'!K44</f>
        <v>8.601398121631384</v>
      </c>
      <c r="N50" s="381"/>
      <c r="O50" s="381"/>
      <c r="P50" s="380">
        <f>'4. ПП'!L44</f>
        <v>8.601398121631384</v>
      </c>
      <c r="Q50" s="381"/>
      <c r="R50" s="395"/>
      <c r="S50" s="218"/>
    </row>
    <row r="51" spans="1:18" ht="18.75" customHeight="1">
      <c r="A51" s="386" t="s">
        <v>221</v>
      </c>
      <c r="B51" s="423" t="s">
        <v>60</v>
      </c>
      <c r="C51" s="424"/>
      <c r="D51" s="424"/>
      <c r="E51" s="281" t="s">
        <v>85</v>
      </c>
      <c r="F51" s="282"/>
      <c r="G51" s="419" t="s">
        <v>77</v>
      </c>
      <c r="H51" s="420"/>
      <c r="I51" s="415" t="s">
        <v>87</v>
      </c>
      <c r="J51" s="416"/>
      <c r="K51" s="281" t="s">
        <v>89</v>
      </c>
      <c r="L51" s="282"/>
      <c r="M51" s="277" t="s">
        <v>90</v>
      </c>
      <c r="N51" s="278"/>
      <c r="O51" s="344" t="s">
        <v>91</v>
      </c>
      <c r="P51" s="345"/>
      <c r="Q51" s="281" t="s">
        <v>93</v>
      </c>
      <c r="R51" s="342"/>
    </row>
    <row r="52" spans="1:18" ht="19.5" customHeight="1">
      <c r="A52" s="387"/>
      <c r="B52" s="423"/>
      <c r="C52" s="424"/>
      <c r="D52" s="424"/>
      <c r="E52" s="281"/>
      <c r="F52" s="282"/>
      <c r="G52" s="419"/>
      <c r="H52" s="420"/>
      <c r="I52" s="415"/>
      <c r="J52" s="416"/>
      <c r="K52" s="281"/>
      <c r="L52" s="282"/>
      <c r="M52" s="277"/>
      <c r="N52" s="278"/>
      <c r="O52" s="344"/>
      <c r="P52" s="345"/>
      <c r="Q52" s="281"/>
      <c r="R52" s="342"/>
    </row>
    <row r="53" spans="1:18" ht="18.75">
      <c r="A53" s="387"/>
      <c r="B53" s="423"/>
      <c r="C53" s="424"/>
      <c r="D53" s="424"/>
      <c r="E53" s="283"/>
      <c r="F53" s="284"/>
      <c r="G53" s="421"/>
      <c r="H53" s="422"/>
      <c r="I53" s="417"/>
      <c r="J53" s="418"/>
      <c r="K53" s="283"/>
      <c r="L53" s="284"/>
      <c r="M53" s="279"/>
      <c r="N53" s="280"/>
      <c r="O53" s="346"/>
      <c r="P53" s="347"/>
      <c r="Q53" s="283"/>
      <c r="R53" s="343"/>
    </row>
    <row r="54" spans="1:18" ht="18.75" customHeight="1">
      <c r="A54" s="387"/>
      <c r="B54" s="425"/>
      <c r="C54" s="426"/>
      <c r="D54" s="426"/>
      <c r="E54" s="303" t="s">
        <v>86</v>
      </c>
      <c r="F54" s="304"/>
      <c r="G54" s="389" t="s">
        <v>123</v>
      </c>
      <c r="H54" s="304"/>
      <c r="I54" s="303" t="s">
        <v>88</v>
      </c>
      <c r="J54" s="304"/>
      <c r="K54" s="303" t="s">
        <v>78</v>
      </c>
      <c r="L54" s="304"/>
      <c r="M54" s="303" t="s">
        <v>78</v>
      </c>
      <c r="N54" s="304"/>
      <c r="O54" s="303" t="s">
        <v>92</v>
      </c>
      <c r="P54" s="389"/>
      <c r="Q54" s="303" t="s">
        <v>92</v>
      </c>
      <c r="R54" s="403"/>
    </row>
    <row r="55" spans="1:18" ht="18.75" customHeight="1">
      <c r="A55" s="387"/>
      <c r="B55" s="285">
        <f>G37</f>
        <v>2014</v>
      </c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7"/>
    </row>
    <row r="56" spans="1:18" ht="18.75" customHeight="1">
      <c r="A56" s="387"/>
      <c r="B56" s="427" t="s">
        <v>70</v>
      </c>
      <c r="C56" s="428"/>
      <c r="D56" s="429"/>
      <c r="E56" s="439">
        <f>'2. ЦПЭФ'!C15</f>
        <v>191.84</v>
      </c>
      <c r="F56" s="440"/>
      <c r="G56" s="439">
        <f>'2. ЦПЭФ'!D15</f>
        <v>74.81939006447436</v>
      </c>
      <c r="H56" s="440"/>
      <c r="I56" s="439">
        <f>'2. ЦПЭФ'!E15</f>
        <v>1.73</v>
      </c>
      <c r="J56" s="441"/>
      <c r="K56" s="442" t="str">
        <f>'2. ЦПЭФ'!F15</f>
        <v>-</v>
      </c>
      <c r="L56" s="424"/>
      <c r="M56" s="443" t="str">
        <f>'2. ЦПЭФ'!G15</f>
        <v>-</v>
      </c>
      <c r="N56" s="444"/>
      <c r="O56" s="439">
        <f>'2. ЦПЭФ'!H15</f>
        <v>4.35580417595652</v>
      </c>
      <c r="P56" s="440"/>
      <c r="Q56" s="439">
        <f>'2. ЦПЭФ'!I15</f>
        <v>0.04362760465119657</v>
      </c>
      <c r="R56" s="452"/>
    </row>
    <row r="57" spans="1:18" ht="18.75" customHeight="1">
      <c r="A57" s="387"/>
      <c r="B57" s="390" t="s">
        <v>71</v>
      </c>
      <c r="C57" s="391"/>
      <c r="D57" s="392"/>
      <c r="E57" s="393" t="str">
        <f>'2. ЦПЭФ'!C18</f>
        <v>-</v>
      </c>
      <c r="F57" s="394"/>
      <c r="G57" s="404">
        <f>'2. ЦПЭФ'!D18</f>
        <v>7.273051651807787</v>
      </c>
      <c r="H57" s="394"/>
      <c r="I57" s="404" t="str">
        <f>'2. ЦПЭФ'!E18</f>
        <v>-</v>
      </c>
      <c r="J57" s="394"/>
      <c r="K57" s="404">
        <f>'2. ЦПЭФ'!F18</f>
        <v>86.27054007966635</v>
      </c>
      <c r="L57" s="394"/>
      <c r="M57" s="405">
        <f>'2. ЦПЭФ'!G18</f>
        <v>35.50337819637881</v>
      </c>
      <c r="N57" s="406"/>
      <c r="O57" s="404" t="str">
        <f>'2. ЦПЭФ'!H18</f>
        <v>-</v>
      </c>
      <c r="P57" s="394"/>
      <c r="Q57" s="404" t="str">
        <f>'2. ЦПЭФ'!I18</f>
        <v>-</v>
      </c>
      <c r="R57" s="407"/>
    </row>
    <row r="58" spans="1:18" ht="19.5" customHeight="1">
      <c r="A58" s="387"/>
      <c r="B58" s="285">
        <f>B55+1</f>
        <v>2015</v>
      </c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7"/>
    </row>
    <row r="59" spans="1:19" ht="18.75">
      <c r="A59" s="387"/>
      <c r="B59" s="427" t="s">
        <v>70</v>
      </c>
      <c r="C59" s="428"/>
      <c r="D59" s="429"/>
      <c r="E59" s="439">
        <f>'2. ЦПЭФ'!C22</f>
        <v>192.29</v>
      </c>
      <c r="F59" s="440"/>
      <c r="G59" s="439">
        <f>'2. ЦПЭФ'!D22</f>
        <v>75.01</v>
      </c>
      <c r="H59" s="440"/>
      <c r="I59" s="439">
        <f>'2. ЦПЭФ'!E22</f>
        <v>8.11</v>
      </c>
      <c r="J59" s="441"/>
      <c r="K59" s="442" t="str">
        <f>'2. ЦПЭФ'!F22</f>
        <v>-</v>
      </c>
      <c r="L59" s="424"/>
      <c r="M59" s="443" t="str">
        <f>'2. ЦПЭФ'!G22</f>
        <v>-</v>
      </c>
      <c r="N59" s="444"/>
      <c r="O59" s="439">
        <f>'2. ЦПЭФ'!H22</f>
        <v>8.012488599453397</v>
      </c>
      <c r="P59" s="440"/>
      <c r="Q59" s="439">
        <f>'2. ЦПЭФ'!I22</f>
        <v>0.08025284672316771</v>
      </c>
      <c r="R59" s="452"/>
      <c r="S59" s="200"/>
    </row>
    <row r="60" spans="1:18" ht="18.75" customHeight="1">
      <c r="A60" s="387"/>
      <c r="B60" s="390" t="s">
        <v>71</v>
      </c>
      <c r="C60" s="391"/>
      <c r="D60" s="392"/>
      <c r="E60" s="393" t="str">
        <f>'2. ЦПЭФ'!C25</f>
        <v>-</v>
      </c>
      <c r="F60" s="394"/>
      <c r="G60" s="404">
        <f>'2. ЦПЭФ'!D25</f>
        <v>7.4601514545142695</v>
      </c>
      <c r="H60" s="394"/>
      <c r="I60" s="404" t="str">
        <f>'2. ЦПЭФ'!E25</f>
        <v>-</v>
      </c>
      <c r="J60" s="394"/>
      <c r="K60" s="404">
        <f>'2. ЦПЭФ'!F25</f>
        <v>92.99256752090818</v>
      </c>
      <c r="L60" s="394"/>
      <c r="M60" s="405">
        <f>'2. ЦПЭФ'!G25</f>
        <v>100</v>
      </c>
      <c r="N60" s="406"/>
      <c r="O60" s="404" t="str">
        <f>'2. ЦПЭФ'!H25</f>
        <v>-</v>
      </c>
      <c r="P60" s="394"/>
      <c r="Q60" s="404" t="str">
        <f>'2. ЦПЭФ'!I25</f>
        <v>-</v>
      </c>
      <c r="R60" s="407"/>
    </row>
    <row r="61" spans="1:18" ht="19.5" customHeight="1">
      <c r="A61" s="387"/>
      <c r="B61" s="288">
        <f>B58+1</f>
        <v>2016</v>
      </c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90"/>
    </row>
    <row r="62" spans="1:18" ht="18.75">
      <c r="A62" s="387"/>
      <c r="B62" s="427" t="s">
        <v>70</v>
      </c>
      <c r="C62" s="428"/>
      <c r="D62" s="429"/>
      <c r="E62" s="442">
        <f>'2. ЦПЭФ'!C29</f>
        <v>161</v>
      </c>
      <c r="F62" s="424"/>
      <c r="G62" s="443">
        <f>'2. ЦПЭФ'!D29</f>
        <v>78.79569806771508</v>
      </c>
      <c r="H62" s="444"/>
      <c r="I62" s="439">
        <f>'2. ЦПЭФ'!E29</f>
        <v>8.11</v>
      </c>
      <c r="J62" s="441"/>
      <c r="K62" s="453" t="str">
        <f>'2. ЦПЭФ'!F29</f>
        <v>-</v>
      </c>
      <c r="L62" s="440"/>
      <c r="M62" s="443" t="str">
        <f>'2. ЦПЭФ'!G29</f>
        <v>-</v>
      </c>
      <c r="N62" s="444"/>
      <c r="O62" s="453">
        <f>'2. ЦПЭФ'!H29</f>
        <v>49.957390041511665</v>
      </c>
      <c r="P62" s="440"/>
      <c r="Q62" s="439">
        <f>'2. ЦПЭФ'!I29</f>
        <v>0.5003717279503457</v>
      </c>
      <c r="R62" s="452"/>
    </row>
    <row r="63" spans="1:19" ht="18.75" customHeight="1">
      <c r="A63" s="387"/>
      <c r="B63" s="390" t="s">
        <v>71</v>
      </c>
      <c r="C63" s="391"/>
      <c r="D63" s="392"/>
      <c r="E63" s="393" t="str">
        <f>'2. ЦПЭФ'!C32</f>
        <v>-</v>
      </c>
      <c r="F63" s="394"/>
      <c r="G63" s="408">
        <f>'2. ЦПЭФ'!D32</f>
        <v>7.249653588079063</v>
      </c>
      <c r="H63" s="406"/>
      <c r="I63" s="404" t="str">
        <f>'2. ЦПЭФ'!E32</f>
        <v>-</v>
      </c>
      <c r="J63" s="394"/>
      <c r="K63" s="404">
        <f>'2. ЦПЭФ'!F32</f>
        <v>91.79091833276856</v>
      </c>
      <c r="L63" s="394"/>
      <c r="M63" s="405">
        <f>'2. ЦПЭФ'!G32</f>
        <v>100</v>
      </c>
      <c r="N63" s="406"/>
      <c r="O63" s="404" t="str">
        <f>'2. ЦПЭФ'!H32</f>
        <v>-</v>
      </c>
      <c r="P63" s="394"/>
      <c r="Q63" s="404" t="str">
        <f>'2. ЦПЭФ'!I32</f>
        <v>-</v>
      </c>
      <c r="R63" s="407"/>
      <c r="S63" s="200"/>
    </row>
    <row r="64" spans="1:18" ht="18.75">
      <c r="A64" s="387"/>
      <c r="B64" s="288">
        <f>B61+1</f>
        <v>2017</v>
      </c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90"/>
    </row>
    <row r="65" spans="1:19" ht="18.75" customHeight="1">
      <c r="A65" s="387"/>
      <c r="B65" s="445" t="s">
        <v>70</v>
      </c>
      <c r="C65" s="446"/>
      <c r="D65" s="447"/>
      <c r="E65" s="442">
        <f>'2. ЦПЭФ'!C36</f>
        <v>161</v>
      </c>
      <c r="F65" s="424"/>
      <c r="G65" s="439">
        <f>'2. ЦПЭФ'!D36</f>
        <v>78.79569806771508</v>
      </c>
      <c r="H65" s="441"/>
      <c r="I65" s="443">
        <f>'2. ЦПЭФ'!E36</f>
        <v>8.11</v>
      </c>
      <c r="J65" s="444"/>
      <c r="K65" s="439" t="str">
        <f>'2. ЦПЭФ'!F36</f>
        <v>-</v>
      </c>
      <c r="L65" s="440"/>
      <c r="M65" s="439" t="str">
        <f>'2. ЦПЭФ'!G36</f>
        <v>-</v>
      </c>
      <c r="N65" s="441"/>
      <c r="O65" s="439">
        <f>'2. ЦПЭФ'!H36</f>
        <v>122.96201708956293</v>
      </c>
      <c r="P65" s="441"/>
      <c r="Q65" s="442">
        <f>'2. ЦПЭФ'!I36</f>
        <v>1.2315838940392891</v>
      </c>
      <c r="R65" s="424"/>
      <c r="S65" s="200"/>
    </row>
    <row r="66" spans="1:18" ht="19.5" customHeight="1" thickBot="1">
      <c r="A66" s="388"/>
      <c r="B66" s="435" t="s">
        <v>71</v>
      </c>
      <c r="C66" s="436"/>
      <c r="D66" s="437"/>
      <c r="E66" s="448" t="str">
        <f>'2. ЦПЭФ'!C39</f>
        <v>-</v>
      </c>
      <c r="F66" s="410"/>
      <c r="G66" s="409">
        <f>'2. ЦПЭФ'!D39</f>
        <v>7.249653588079063</v>
      </c>
      <c r="H66" s="410"/>
      <c r="I66" s="411" t="str">
        <f>'2. ЦПЭФ'!E39</f>
        <v>-</v>
      </c>
      <c r="J66" s="412"/>
      <c r="K66" s="409">
        <f>'2. ЦПЭФ'!F39</f>
        <v>91.29362927821079</v>
      </c>
      <c r="L66" s="410"/>
      <c r="M66" s="409">
        <f>'2. ЦПЭФ'!G39</f>
        <v>97.79264697250854</v>
      </c>
      <c r="N66" s="410"/>
      <c r="O66" s="409" t="str">
        <f>'2. ЦПЭФ'!H39</f>
        <v>-</v>
      </c>
      <c r="P66" s="410"/>
      <c r="Q66" s="409" t="str">
        <f>'2. ЦПЭФ'!I39</f>
        <v>-</v>
      </c>
      <c r="R66" s="413"/>
    </row>
    <row r="67" spans="1:18" ht="18.75" customHeight="1">
      <c r="A67" s="386" t="s">
        <v>220</v>
      </c>
      <c r="B67" s="430" t="s">
        <v>222</v>
      </c>
      <c r="C67" s="297" t="s">
        <v>60</v>
      </c>
      <c r="D67" s="298"/>
      <c r="E67" s="313" t="s">
        <v>61</v>
      </c>
      <c r="F67" s="314"/>
      <c r="G67" s="314"/>
      <c r="H67" s="314"/>
      <c r="I67" s="314"/>
      <c r="J67" s="314"/>
      <c r="K67" s="314"/>
      <c r="L67" s="314"/>
      <c r="M67" s="314"/>
      <c r="N67" s="314"/>
      <c r="O67" s="307" t="s">
        <v>226</v>
      </c>
      <c r="P67" s="308"/>
      <c r="Q67" s="307" t="s">
        <v>223</v>
      </c>
      <c r="R67" s="310"/>
    </row>
    <row r="68" spans="1:18" ht="60" customHeight="1">
      <c r="A68" s="387"/>
      <c r="B68" s="431"/>
      <c r="C68" s="299"/>
      <c r="D68" s="300"/>
      <c r="E68" s="293" t="s">
        <v>14</v>
      </c>
      <c r="F68" s="320"/>
      <c r="G68" s="293" t="s">
        <v>30</v>
      </c>
      <c r="H68" s="320"/>
      <c r="I68" s="293" t="s">
        <v>32</v>
      </c>
      <c r="J68" s="294"/>
      <c r="K68" s="293" t="s">
        <v>34</v>
      </c>
      <c r="L68" s="294"/>
      <c r="M68" s="295" t="s">
        <v>224</v>
      </c>
      <c r="N68" s="296"/>
      <c r="O68" s="283"/>
      <c r="P68" s="309"/>
      <c r="Q68" s="311"/>
      <c r="R68" s="312"/>
    </row>
    <row r="69" spans="1:18" ht="18.75" customHeight="1">
      <c r="A69" s="387"/>
      <c r="B69" s="432"/>
      <c r="C69" s="301"/>
      <c r="D69" s="302"/>
      <c r="E69" s="197" t="s">
        <v>65</v>
      </c>
      <c r="F69" s="198" t="s">
        <v>35</v>
      </c>
      <c r="G69" s="197" t="s">
        <v>31</v>
      </c>
      <c r="H69" s="198" t="s">
        <v>35</v>
      </c>
      <c r="I69" s="197" t="s">
        <v>33</v>
      </c>
      <c r="J69" s="198" t="s">
        <v>35</v>
      </c>
      <c r="K69" s="197" t="s">
        <v>16</v>
      </c>
      <c r="L69" s="199" t="s">
        <v>35</v>
      </c>
      <c r="M69" s="318" t="s">
        <v>225</v>
      </c>
      <c r="N69" s="319"/>
      <c r="O69" s="315" t="s">
        <v>86</v>
      </c>
      <c r="P69" s="317"/>
      <c r="Q69" s="315" t="s">
        <v>123</v>
      </c>
      <c r="R69" s="316"/>
    </row>
    <row r="70" spans="1:18" ht="18.75" customHeight="1">
      <c r="A70" s="387"/>
      <c r="B70" s="433">
        <f>B55</f>
        <v>2014</v>
      </c>
      <c r="C70" s="438" t="s">
        <v>70</v>
      </c>
      <c r="D70" s="438"/>
      <c r="E70" s="201">
        <f>'3. ЦПЭП'!B15</f>
        <v>690</v>
      </c>
      <c r="F70" s="276">
        <f>'3. ЦПЭП'!C15</f>
        <v>717.6</v>
      </c>
      <c r="G70" s="202">
        <f>'3. ЦПЭП'!D15</f>
        <v>0</v>
      </c>
      <c r="H70" s="203">
        <f>'3. ЦПЭП'!E15</f>
        <v>0</v>
      </c>
      <c r="I70" s="202">
        <f>'3. ЦПЭП'!F15</f>
        <v>0</v>
      </c>
      <c r="J70" s="203">
        <f>'3. ЦПЭП'!G15</f>
        <v>0</v>
      </c>
      <c r="K70" s="202" t="str">
        <f>'3. ЦПЭП'!H15</f>
        <v>-</v>
      </c>
      <c r="L70" s="203" t="str">
        <f>'3. ЦПЭП'!I15</f>
        <v>-</v>
      </c>
      <c r="M70" s="291">
        <f>'3. ЦПЭП'!J15</f>
        <v>717.6</v>
      </c>
      <c r="N70" s="292"/>
      <c r="O70" s="291">
        <f>'3. ЦПЭП'!K15</f>
        <v>0</v>
      </c>
      <c r="P70" s="292"/>
      <c r="Q70" s="291">
        <f>'3. ЦПЭП'!L15</f>
        <v>3.372780197380963</v>
      </c>
      <c r="R70" s="449"/>
    </row>
    <row r="71" spans="1:18" ht="18.75" customHeight="1">
      <c r="A71" s="387"/>
      <c r="B71" s="434"/>
      <c r="C71" s="451" t="s">
        <v>71</v>
      </c>
      <c r="D71" s="451"/>
      <c r="E71" s="205">
        <f>'3. ЦПЭП'!B16</f>
        <v>0</v>
      </c>
      <c r="F71" s="275">
        <f>'3. ЦПЭП'!C16</f>
        <v>0</v>
      </c>
      <c r="G71" s="207">
        <f>'3. ЦПЭП'!D16</f>
        <v>303.375</v>
      </c>
      <c r="H71" s="208">
        <f>'3. ЦПЭП'!E16</f>
        <v>160.14132380052018</v>
      </c>
      <c r="I71" s="207" t="str">
        <f>'3. ЦПЭП'!F16</f>
        <v>-</v>
      </c>
      <c r="J71" s="208" t="str">
        <f>'3. ЦПЭП'!G16</f>
        <v>-</v>
      </c>
      <c r="K71" s="207">
        <f>'3. ЦПЭП'!H16</f>
        <v>0</v>
      </c>
      <c r="L71" s="208">
        <f>'3. ЦПЭП'!I16</f>
        <v>0</v>
      </c>
      <c r="M71" s="305">
        <f>'3. ЦПЭП'!J16</f>
        <v>160.14132380052018</v>
      </c>
      <c r="N71" s="306"/>
      <c r="O71" s="305" t="str">
        <f>'3. ЦПЭП'!K16</f>
        <v>-</v>
      </c>
      <c r="P71" s="306"/>
      <c r="Q71" s="305">
        <f>'3. ЦПЭП'!L16</f>
        <v>0</v>
      </c>
      <c r="R71" s="450"/>
    </row>
    <row r="72" spans="1:18" s="184" customFormat="1" ht="18.75">
      <c r="A72" s="387"/>
      <c r="B72" s="433">
        <f>B58</f>
        <v>2015</v>
      </c>
      <c r="C72" s="438" t="s">
        <v>70</v>
      </c>
      <c r="D72" s="438"/>
      <c r="E72" s="201">
        <f>'3. ЦПЭП'!B18</f>
        <v>690</v>
      </c>
      <c r="F72" s="127">
        <f>'3. ЦПЭП'!C18</f>
        <v>762.8088</v>
      </c>
      <c r="G72" s="202">
        <f>'3. ЦПЭП'!D18</f>
        <v>1213</v>
      </c>
      <c r="H72" s="203">
        <f>'3. ЦПЭП'!E18</f>
        <v>652.6992784438725</v>
      </c>
      <c r="I72" s="202">
        <f>'3. ЦПЭП'!F18</f>
        <v>0</v>
      </c>
      <c r="J72" s="203">
        <f>'3. ЦПЭП'!G18</f>
        <v>0</v>
      </c>
      <c r="K72" s="202" t="str">
        <f>'3. ЦПЭП'!H18</f>
        <v>-</v>
      </c>
      <c r="L72" s="203" t="str">
        <f>'3. ЦПЭП'!I18</f>
        <v>-</v>
      </c>
      <c r="M72" s="291">
        <f>'3. ЦПЭП'!J18</f>
        <v>1415.5080784438724</v>
      </c>
      <c r="N72" s="292"/>
      <c r="O72" s="291">
        <f>'3. ЦПЭП'!K18</f>
        <v>0.03142353486025913</v>
      </c>
      <c r="P72" s="292"/>
      <c r="Q72" s="291">
        <f>'3. ЦПЭП'!L18</f>
        <v>3.43716219918604</v>
      </c>
      <c r="R72" s="449"/>
    </row>
    <row r="73" spans="1:18" s="184" customFormat="1" ht="18.75">
      <c r="A73" s="414"/>
      <c r="B73" s="434"/>
      <c r="C73" s="451" t="s">
        <v>71</v>
      </c>
      <c r="D73" s="451"/>
      <c r="E73" s="205">
        <f>'3. ЦПЭП'!B19</f>
        <v>219.577</v>
      </c>
      <c r="F73" s="206">
        <f>'3. ЦПЭП'!C19</f>
        <v>928.3847229747431</v>
      </c>
      <c r="G73" s="207">
        <f>'3. ЦПЭП'!D19</f>
        <v>3998</v>
      </c>
      <c r="H73" s="208">
        <f>'3. ЦПЭП'!E19</f>
        <v>2151.270993584997</v>
      </c>
      <c r="I73" s="207" t="str">
        <f>'3. ЦПЭП'!F19</f>
        <v>-</v>
      </c>
      <c r="J73" s="208" t="str">
        <f>'3. ЦПЭП'!G19</f>
        <v>-</v>
      </c>
      <c r="K73" s="207">
        <f>'3. ЦПЭП'!H19</f>
        <v>0</v>
      </c>
      <c r="L73" s="208">
        <f>'3. ЦПЭП'!I19</f>
        <v>0</v>
      </c>
      <c r="M73" s="305">
        <f>'3. ЦПЭП'!J19</f>
        <v>3079.65571655974</v>
      </c>
      <c r="N73" s="306"/>
      <c r="O73" s="305" t="str">
        <f>'3. ЦПЭП'!K19</f>
        <v>-</v>
      </c>
      <c r="P73" s="306"/>
      <c r="Q73" s="305">
        <f>'3. ЦПЭП'!L19</f>
        <v>1.1412466671171146</v>
      </c>
      <c r="R73" s="450"/>
    </row>
    <row r="74" spans="1:18" s="184" customFormat="1" ht="18.75">
      <c r="A74" s="414"/>
      <c r="B74" s="433">
        <f>B61</f>
        <v>2016</v>
      </c>
      <c r="C74" s="454" t="s">
        <v>70</v>
      </c>
      <c r="D74" s="455"/>
      <c r="E74" s="201">
        <f>'3. ЦПЭП'!B21</f>
        <v>0</v>
      </c>
      <c r="F74" s="127">
        <f>'3. ЦПЭП'!C21</f>
        <v>0</v>
      </c>
      <c r="G74" s="202">
        <f>'3. ЦПЭП'!D21</f>
        <v>5232</v>
      </c>
      <c r="H74" s="203">
        <f>'3. ЦПЭП'!E21</f>
        <v>2469.7634386431437</v>
      </c>
      <c r="I74" s="202">
        <f>'3. ЦПЭП'!F21</f>
        <v>2344.2641999999996</v>
      </c>
      <c r="J74" s="203">
        <f>'3. ЦПЭП'!G21</f>
        <v>6873.347498053091</v>
      </c>
      <c r="K74" s="202" t="str">
        <f>'3. ЦПЭП'!H21</f>
        <v>-</v>
      </c>
      <c r="L74" s="203" t="str">
        <f>'3. ЦПЭП'!I21</f>
        <v>-</v>
      </c>
      <c r="M74" s="291">
        <f>'3. ЦПЭП'!J21</f>
        <v>9343.110936696234</v>
      </c>
      <c r="N74" s="292"/>
      <c r="O74" s="291">
        <f>'3. ЦПЭП'!K21</f>
        <v>11.839584623480986</v>
      </c>
      <c r="P74" s="292"/>
      <c r="Q74" s="291">
        <f>'3. ЦПЭП'!L21</f>
        <v>0</v>
      </c>
      <c r="R74" s="449"/>
    </row>
    <row r="75" spans="1:18" s="184" customFormat="1" ht="18.75">
      <c r="A75" s="414"/>
      <c r="B75" s="434"/>
      <c r="C75" s="456" t="s">
        <v>71</v>
      </c>
      <c r="D75" s="457"/>
      <c r="E75" s="205">
        <f>'3. ЦПЭП'!B22</f>
        <v>260.077</v>
      </c>
      <c r="F75" s="206">
        <f>'3. ЦПЭП'!C22</f>
        <v>1173.2957687194382</v>
      </c>
      <c r="G75" s="207">
        <f>'3. ЦПЭП'!D22</f>
        <v>4845</v>
      </c>
      <c r="H75" s="208">
        <f>'3. ЦПЭП'!E22</f>
        <v>2287.0802485141494</v>
      </c>
      <c r="I75" s="207" t="str">
        <f>'3. ЦПЭП'!F22</f>
        <v>-</v>
      </c>
      <c r="J75" s="208" t="str">
        <f>'3. ЦПЭП'!G22</f>
        <v>-</v>
      </c>
      <c r="K75" s="207">
        <f>'3. ЦПЭП'!H22</f>
        <v>0</v>
      </c>
      <c r="L75" s="208">
        <f>'3. ЦПЭП'!I22</f>
        <v>0</v>
      </c>
      <c r="M75" s="305">
        <f>'3. ЦПЭП'!J22</f>
        <v>3460.3760172335874</v>
      </c>
      <c r="N75" s="306"/>
      <c r="O75" s="305" t="str">
        <f>'3. ЦПЭП'!K22</f>
        <v>-</v>
      </c>
      <c r="P75" s="306"/>
      <c r="Q75" s="305">
        <f>'3. ЦПЭП'!L22</f>
        <v>1.3517445335523204</v>
      </c>
      <c r="R75" s="450"/>
    </row>
    <row r="76" spans="1:18" s="184" customFormat="1" ht="18.75">
      <c r="A76" s="414"/>
      <c r="B76" s="433">
        <f>B64</f>
        <v>2017</v>
      </c>
      <c r="C76" s="454" t="s">
        <v>70</v>
      </c>
      <c r="D76" s="455"/>
      <c r="E76" s="201">
        <f>'3. ЦПЭП'!B24</f>
        <v>0</v>
      </c>
      <c r="F76" s="127">
        <f>'3. ЦПЭП'!C24</f>
        <v>0</v>
      </c>
      <c r="G76" s="202">
        <f>'3. ЦПЭП'!D24</f>
        <v>9888</v>
      </c>
      <c r="H76" s="203">
        <f>'3. ЦПЭП'!E24</f>
        <v>4899.867112598373</v>
      </c>
      <c r="I76" s="202">
        <f>'3. ЦПЭП'!F24</f>
        <v>6251.3712</v>
      </c>
      <c r="J76" s="203">
        <f>'3. ЦПЭП'!G24</f>
        <v>19240.894384513143</v>
      </c>
      <c r="K76" s="202" t="str">
        <f>'3. ЦПЭП'!H24</f>
        <v>-</v>
      </c>
      <c r="L76" s="203" t="str">
        <f>'3. ЦПЭП'!I24</f>
        <v>-</v>
      </c>
      <c r="M76" s="291">
        <f>'3. ЦПЭП'!J24</f>
        <v>24140.761497111518</v>
      </c>
      <c r="N76" s="292"/>
      <c r="O76" s="291">
        <f>'3. ЦПЭП'!K24</f>
        <v>31.44648412712679</v>
      </c>
      <c r="P76" s="292"/>
      <c r="Q76" s="291">
        <f>'3. ЦПЭП'!L24</f>
        <v>0</v>
      </c>
      <c r="R76" s="449"/>
    </row>
    <row r="77" spans="1:18" s="184" customFormat="1" ht="18.75">
      <c r="A77" s="414"/>
      <c r="B77" s="434"/>
      <c r="C77" s="456" t="s">
        <v>71</v>
      </c>
      <c r="D77" s="457"/>
      <c r="E77" s="205">
        <f>'3. ЦПЭП'!B25</f>
        <v>260.077</v>
      </c>
      <c r="F77" s="206">
        <f>'3. ЦПЭП'!C25</f>
        <v>1230.7872613866905</v>
      </c>
      <c r="G77" s="207">
        <f>'3. ЦПЭП'!D25</f>
        <v>5138.5</v>
      </c>
      <c r="H77" s="208">
        <f>'3. ЦПЭП'!E25</f>
        <v>2546.3154488356327</v>
      </c>
      <c r="I77" s="207" t="str">
        <f>'3. ЦПЭП'!F25</f>
        <v>-</v>
      </c>
      <c r="J77" s="208" t="str">
        <f>'3. ЦПЭП'!G25</f>
        <v>-</v>
      </c>
      <c r="K77" s="207">
        <f>'3. ЦПЭП'!H25</f>
        <v>2444.5</v>
      </c>
      <c r="L77" s="208">
        <f>'3. ЦПЭП'!I25</f>
        <v>28747.32</v>
      </c>
      <c r="M77" s="305">
        <f>'3. ЦПЭП'!J25</f>
        <v>32524.422710222327</v>
      </c>
      <c r="N77" s="306"/>
      <c r="O77" s="305" t="str">
        <f>'3. ЦПЭП'!K25</f>
        <v>-</v>
      </c>
      <c r="P77" s="306"/>
      <c r="Q77" s="305">
        <f>'3. ЦПЭП'!L25</f>
        <v>1.3517445335523204</v>
      </c>
      <c r="R77" s="450"/>
    </row>
    <row r="78" spans="1:18" s="186" customFormat="1" ht="18.75">
      <c r="A78" s="414"/>
      <c r="B78" s="458" t="s">
        <v>263</v>
      </c>
      <c r="C78" s="460" t="s">
        <v>70</v>
      </c>
      <c r="D78" s="461"/>
      <c r="E78" s="209">
        <f>'3. ЦПЭП'!B27</f>
        <v>1380</v>
      </c>
      <c r="F78" s="210">
        <f>'3. ЦПЭП'!C27</f>
        <v>1480.4088000000002</v>
      </c>
      <c r="G78" s="211">
        <f>'3. ЦПЭП'!D27</f>
        <v>16333</v>
      </c>
      <c r="H78" s="212">
        <f>'3. ЦПЭП'!E27</f>
        <v>8022.329829685389</v>
      </c>
      <c r="I78" s="211">
        <f>'3. ЦПЭП'!F27</f>
        <v>8595.6354</v>
      </c>
      <c r="J78" s="212">
        <f>'3. ЦПЭП'!G27</f>
        <v>26114.241882566235</v>
      </c>
      <c r="K78" s="211" t="str">
        <f>'3. ЦПЭП'!H27</f>
        <v>-</v>
      </c>
      <c r="L78" s="212" t="str">
        <f>'3. ЦПЭП'!I27</f>
        <v>-</v>
      </c>
      <c r="M78" s="464">
        <f>'3. ЦПЭП'!J27</f>
        <v>35616.980512251626</v>
      </c>
      <c r="N78" s="465"/>
      <c r="O78" s="464">
        <f>'3. ЦПЭП'!K27</f>
        <v>31.44648412712679</v>
      </c>
      <c r="P78" s="465"/>
      <c r="Q78" s="464">
        <f>'3. ЦПЭП'!L27</f>
        <v>0</v>
      </c>
      <c r="R78" s="466"/>
    </row>
    <row r="79" spans="1:18" s="186" customFormat="1" ht="19.5" thickBot="1">
      <c r="A79" s="414"/>
      <c r="B79" s="459"/>
      <c r="C79" s="462" t="s">
        <v>71</v>
      </c>
      <c r="D79" s="463"/>
      <c r="E79" s="213">
        <f>'3. ЦПЭП'!B28</f>
        <v>739.731</v>
      </c>
      <c r="F79" s="214">
        <f>'3. ЦПЭП'!C28</f>
        <v>3332.467753080872</v>
      </c>
      <c r="G79" s="215">
        <f>'3. ЦПЭП'!D28</f>
        <v>14284.875</v>
      </c>
      <c r="H79" s="216">
        <f>'3. ЦПЭП'!E28</f>
        <v>7144.808014735299</v>
      </c>
      <c r="I79" s="215" t="str">
        <f>'3. ЦПЭП'!F28</f>
        <v>-</v>
      </c>
      <c r="J79" s="216" t="str">
        <f>'3. ЦПЭП'!G28</f>
        <v>-</v>
      </c>
      <c r="K79" s="215">
        <f>'3. ЦПЭП'!H28</f>
        <v>2444.5</v>
      </c>
      <c r="L79" s="216">
        <f>'3. ЦПЭП'!I28</f>
        <v>28747.32</v>
      </c>
      <c r="M79" s="469">
        <f>'3. ЦПЭП'!J28</f>
        <v>39224.59576781617</v>
      </c>
      <c r="N79" s="470"/>
      <c r="O79" s="469" t="str">
        <f>'3. ЦПЭП'!K28</f>
        <v>-</v>
      </c>
      <c r="P79" s="470"/>
      <c r="Q79" s="467">
        <f>'3. ЦПЭП'!L28</f>
        <v>1.3517445335523204</v>
      </c>
      <c r="R79" s="468"/>
    </row>
    <row r="80" spans="1:18" ht="19.5" customHeight="1" thickBot="1">
      <c r="A80" s="183" t="s">
        <v>140</v>
      </c>
      <c r="B80" s="321" t="str">
        <f>P2</f>
        <v>2014-2017</v>
      </c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3"/>
    </row>
    <row r="81" spans="1:18" ht="18.75">
      <c r="A81" s="370" t="s">
        <v>141</v>
      </c>
      <c r="B81" s="478" t="s">
        <v>60</v>
      </c>
      <c r="C81" s="479"/>
      <c r="D81" s="480">
        <f>B70</f>
        <v>2014</v>
      </c>
      <c r="E81" s="481"/>
      <c r="F81" s="482"/>
      <c r="G81" s="480">
        <f>B72</f>
        <v>2015</v>
      </c>
      <c r="H81" s="481"/>
      <c r="I81" s="482"/>
      <c r="J81" s="480">
        <f>B74</f>
        <v>2016</v>
      </c>
      <c r="K81" s="481"/>
      <c r="L81" s="482"/>
      <c r="M81" s="480">
        <f>B76</f>
        <v>2017</v>
      </c>
      <c r="N81" s="481"/>
      <c r="O81" s="482"/>
      <c r="P81" s="474" t="s">
        <v>264</v>
      </c>
      <c r="Q81" s="474"/>
      <c r="R81" s="475"/>
    </row>
    <row r="82" spans="1:18" ht="18.75">
      <c r="A82" s="370"/>
      <c r="B82" s="438" t="s">
        <v>70</v>
      </c>
      <c r="C82" s="438"/>
      <c r="D82" s="483">
        <f>'3. ЦПЭП'!M15</f>
        <v>154696.5</v>
      </c>
      <c r="E82" s="484"/>
      <c r="F82" s="485"/>
      <c r="G82" s="483">
        <f>'3. ЦПЭП'!M18</f>
        <v>385897.298305085</v>
      </c>
      <c r="H82" s="484"/>
      <c r="I82" s="485"/>
      <c r="J82" s="483">
        <f>'3. ЦПЭП'!M21</f>
        <v>52545.76101694915</v>
      </c>
      <c r="K82" s="484"/>
      <c r="L82" s="485"/>
      <c r="M82" s="291">
        <f>'3. ЦПЭП'!M24</f>
        <v>0</v>
      </c>
      <c r="N82" s="514"/>
      <c r="O82" s="292"/>
      <c r="P82" s="476">
        <f>'3. ЦПЭП'!M27</f>
        <v>593139.5593220341</v>
      </c>
      <c r="Q82" s="476"/>
      <c r="R82" s="477"/>
    </row>
    <row r="83" spans="1:18" ht="19.5" thickBot="1">
      <c r="A83" s="370"/>
      <c r="B83" s="451" t="s">
        <v>71</v>
      </c>
      <c r="C83" s="451"/>
      <c r="D83" s="471">
        <f>'3. ЦПЭП'!M16</f>
        <v>7800</v>
      </c>
      <c r="E83" s="472"/>
      <c r="F83" s="473"/>
      <c r="G83" s="471">
        <f>'3. ЦПЭП'!M19</f>
        <v>9322</v>
      </c>
      <c r="H83" s="472"/>
      <c r="I83" s="473"/>
      <c r="J83" s="471">
        <f>'3. ЦПЭП'!M22</f>
        <v>0</v>
      </c>
      <c r="K83" s="472"/>
      <c r="L83" s="473"/>
      <c r="M83" s="471">
        <f>'3. ЦПЭП'!M25</f>
        <v>10778</v>
      </c>
      <c r="N83" s="472"/>
      <c r="O83" s="473"/>
      <c r="P83" s="515">
        <f>'3. ЦПЭП'!M28</f>
        <v>27900</v>
      </c>
      <c r="Q83" s="515"/>
      <c r="R83" s="516"/>
    </row>
    <row r="84" spans="1:18" ht="47.25" customHeight="1" thickBot="1">
      <c r="A84" s="183" t="s">
        <v>142</v>
      </c>
      <c r="B84" s="504" t="s">
        <v>218</v>
      </c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6"/>
    </row>
    <row r="85" spans="1:18" ht="36.75" customHeight="1" thickBot="1">
      <c r="A85" s="187" t="s">
        <v>143</v>
      </c>
      <c r="B85" s="486" t="s">
        <v>219</v>
      </c>
      <c r="C85" s="487"/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  <c r="R85" s="488"/>
    </row>
    <row r="86" ht="19.5" thickTop="1"/>
  </sheetData>
  <sheetProtection/>
  <mergeCells count="314">
    <mergeCell ref="D82:F82"/>
    <mergeCell ref="D83:F83"/>
    <mergeCell ref="Q71:R71"/>
    <mergeCell ref="M81:O81"/>
    <mergeCell ref="M82:O82"/>
    <mergeCell ref="M83:O83"/>
    <mergeCell ref="J81:L81"/>
    <mergeCell ref="J82:L82"/>
    <mergeCell ref="J83:L83"/>
    <mergeCell ref="P83:R83"/>
    <mergeCell ref="O57:P57"/>
    <mergeCell ref="Q57:R57"/>
    <mergeCell ref="B70:B71"/>
    <mergeCell ref="C70:D70"/>
    <mergeCell ref="M70:N70"/>
    <mergeCell ref="O70:P70"/>
    <mergeCell ref="Q70:R70"/>
    <mergeCell ref="C71:D71"/>
    <mergeCell ref="M71:N71"/>
    <mergeCell ref="O71:P71"/>
    <mergeCell ref="B57:D57"/>
    <mergeCell ref="E57:F57"/>
    <mergeCell ref="G57:H57"/>
    <mergeCell ref="I57:J57"/>
    <mergeCell ref="K57:L57"/>
    <mergeCell ref="M57:N57"/>
    <mergeCell ref="B55:R55"/>
    <mergeCell ref="B56:D56"/>
    <mergeCell ref="E56:F56"/>
    <mergeCell ref="G56:H56"/>
    <mergeCell ref="I56:J56"/>
    <mergeCell ref="K56:L56"/>
    <mergeCell ref="M56:N56"/>
    <mergeCell ref="O56:P56"/>
    <mergeCell ref="Q56:R56"/>
    <mergeCell ref="A16:A32"/>
    <mergeCell ref="B30:E30"/>
    <mergeCell ref="F30:I30"/>
    <mergeCell ref="B31:E31"/>
    <mergeCell ref="F31:I31"/>
    <mergeCell ref="J31:L31"/>
    <mergeCell ref="B25:E25"/>
    <mergeCell ref="F25:I25"/>
    <mergeCell ref="J25:L25"/>
    <mergeCell ref="F24:I24"/>
    <mergeCell ref="M31:R31"/>
    <mergeCell ref="B32:E32"/>
    <mergeCell ref="F32:I32"/>
    <mergeCell ref="J32:L32"/>
    <mergeCell ref="M32:R32"/>
    <mergeCell ref="B29:E29"/>
    <mergeCell ref="F29:I29"/>
    <mergeCell ref="J29:L29"/>
    <mergeCell ref="M29:R29"/>
    <mergeCell ref="J30:L30"/>
    <mergeCell ref="M30:R30"/>
    <mergeCell ref="B27:E27"/>
    <mergeCell ref="F27:I27"/>
    <mergeCell ref="J27:L27"/>
    <mergeCell ref="M27:R27"/>
    <mergeCell ref="B28:E28"/>
    <mergeCell ref="F28:I28"/>
    <mergeCell ref="J28:L28"/>
    <mergeCell ref="M28:R28"/>
    <mergeCell ref="M25:R25"/>
    <mergeCell ref="B26:E26"/>
    <mergeCell ref="F26:I26"/>
    <mergeCell ref="J26:L26"/>
    <mergeCell ref="M26:R26"/>
    <mergeCell ref="B23:E23"/>
    <mergeCell ref="F23:I23"/>
    <mergeCell ref="J23:L23"/>
    <mergeCell ref="M23:R23"/>
    <mergeCell ref="B24:E24"/>
    <mergeCell ref="J24:L24"/>
    <mergeCell ref="M24:R24"/>
    <mergeCell ref="B21:E21"/>
    <mergeCell ref="F21:I21"/>
    <mergeCell ref="J21:L21"/>
    <mergeCell ref="M21:R21"/>
    <mergeCell ref="B22:E22"/>
    <mergeCell ref="F22:I22"/>
    <mergeCell ref="J22:L22"/>
    <mergeCell ref="M22:R22"/>
    <mergeCell ref="B19:E19"/>
    <mergeCell ref="F19:I19"/>
    <mergeCell ref="J19:L19"/>
    <mergeCell ref="M19:R19"/>
    <mergeCell ref="B20:E20"/>
    <mergeCell ref="F20:I20"/>
    <mergeCell ref="J20:L20"/>
    <mergeCell ref="M20:R20"/>
    <mergeCell ref="B85:R85"/>
    <mergeCell ref="A6:R6"/>
    <mergeCell ref="B12:R14"/>
    <mergeCell ref="A12:A14"/>
    <mergeCell ref="B16:E16"/>
    <mergeCell ref="F16:I16"/>
    <mergeCell ref="J16:L16"/>
    <mergeCell ref="M17:R17"/>
    <mergeCell ref="B84:R84"/>
    <mergeCell ref="B83:C83"/>
    <mergeCell ref="G83:I83"/>
    <mergeCell ref="P81:R81"/>
    <mergeCell ref="B82:C82"/>
    <mergeCell ref="P82:R82"/>
    <mergeCell ref="B80:R80"/>
    <mergeCell ref="A81:A83"/>
    <mergeCell ref="B81:C81"/>
    <mergeCell ref="G81:I81"/>
    <mergeCell ref="G82:I82"/>
    <mergeCell ref="D81:F81"/>
    <mergeCell ref="B78:B79"/>
    <mergeCell ref="C78:D78"/>
    <mergeCell ref="C79:D79"/>
    <mergeCell ref="M78:N78"/>
    <mergeCell ref="Q78:R78"/>
    <mergeCell ref="Q79:R79"/>
    <mergeCell ref="M79:N79"/>
    <mergeCell ref="O78:P78"/>
    <mergeCell ref="O79:P79"/>
    <mergeCell ref="Q74:R74"/>
    <mergeCell ref="Q75:R75"/>
    <mergeCell ref="B76:B77"/>
    <mergeCell ref="C76:D76"/>
    <mergeCell ref="C77:D77"/>
    <mergeCell ref="Q76:R76"/>
    <mergeCell ref="Q77:R77"/>
    <mergeCell ref="B74:B75"/>
    <mergeCell ref="C74:D74"/>
    <mergeCell ref="C75:D75"/>
    <mergeCell ref="Q62:R62"/>
    <mergeCell ref="G65:H65"/>
    <mergeCell ref="I65:J65"/>
    <mergeCell ref="K65:L65"/>
    <mergeCell ref="M65:N65"/>
    <mergeCell ref="O65:P65"/>
    <mergeCell ref="Q65:R65"/>
    <mergeCell ref="O63:P63"/>
    <mergeCell ref="Q63:R63"/>
    <mergeCell ref="Q72:R72"/>
    <mergeCell ref="Q73:R73"/>
    <mergeCell ref="C73:D73"/>
    <mergeCell ref="K59:L59"/>
    <mergeCell ref="M59:N59"/>
    <mergeCell ref="O59:P59"/>
    <mergeCell ref="Q59:R59"/>
    <mergeCell ref="K62:L62"/>
    <mergeCell ref="M62:N62"/>
    <mergeCell ref="O62:P62"/>
    <mergeCell ref="C72:D72"/>
    <mergeCell ref="E59:F59"/>
    <mergeCell ref="G59:H59"/>
    <mergeCell ref="I59:J59"/>
    <mergeCell ref="E62:F62"/>
    <mergeCell ref="G62:H62"/>
    <mergeCell ref="I62:J62"/>
    <mergeCell ref="E65:F65"/>
    <mergeCell ref="B65:D65"/>
    <mergeCell ref="E66:F66"/>
    <mergeCell ref="A67:A79"/>
    <mergeCell ref="I51:J53"/>
    <mergeCell ref="G51:H53"/>
    <mergeCell ref="E51:F53"/>
    <mergeCell ref="B51:D54"/>
    <mergeCell ref="B59:D59"/>
    <mergeCell ref="B62:D62"/>
    <mergeCell ref="B67:B69"/>
    <mergeCell ref="B72:B73"/>
    <mergeCell ref="B66:D66"/>
    <mergeCell ref="G66:H66"/>
    <mergeCell ref="I66:J66"/>
    <mergeCell ref="K66:L66"/>
    <mergeCell ref="M66:N66"/>
    <mergeCell ref="O66:P66"/>
    <mergeCell ref="Q66:R66"/>
    <mergeCell ref="B63:D63"/>
    <mergeCell ref="E63:F63"/>
    <mergeCell ref="G63:H63"/>
    <mergeCell ref="I63:J63"/>
    <mergeCell ref="K63:L63"/>
    <mergeCell ref="M63:N63"/>
    <mergeCell ref="G60:H60"/>
    <mergeCell ref="I60:J60"/>
    <mergeCell ref="K60:L60"/>
    <mergeCell ref="M60:N60"/>
    <mergeCell ref="O60:P60"/>
    <mergeCell ref="Q60:R60"/>
    <mergeCell ref="Q54:R54"/>
    <mergeCell ref="M41:O41"/>
    <mergeCell ref="P41:R41"/>
    <mergeCell ref="P42:R42"/>
    <mergeCell ref="B41:E41"/>
    <mergeCell ref="G39:I39"/>
    <mergeCell ref="J39:L39"/>
    <mergeCell ref="E54:F54"/>
    <mergeCell ref="G54:H54"/>
    <mergeCell ref="I54:J54"/>
    <mergeCell ref="J37:L37"/>
    <mergeCell ref="M37:O37"/>
    <mergeCell ref="P37:R37"/>
    <mergeCell ref="B38:R38"/>
    <mergeCell ref="B39:E39"/>
    <mergeCell ref="B40:E40"/>
    <mergeCell ref="M39:O39"/>
    <mergeCell ref="P39:R39"/>
    <mergeCell ref="M40:O40"/>
    <mergeCell ref="P40:R40"/>
    <mergeCell ref="A51:A66"/>
    <mergeCell ref="M54:N54"/>
    <mergeCell ref="O54:P54"/>
    <mergeCell ref="B60:D60"/>
    <mergeCell ref="E60:F60"/>
    <mergeCell ref="B44:E44"/>
    <mergeCell ref="G44:I44"/>
    <mergeCell ref="P44:R44"/>
    <mergeCell ref="P50:R50"/>
    <mergeCell ref="M50:O50"/>
    <mergeCell ref="J42:L42"/>
    <mergeCell ref="M42:O42"/>
    <mergeCell ref="B43:R43"/>
    <mergeCell ref="J48:L48"/>
    <mergeCell ref="M48:O48"/>
    <mergeCell ref="P48:R48"/>
    <mergeCell ref="B42:E42"/>
    <mergeCell ref="G42:I42"/>
    <mergeCell ref="B48:E48"/>
    <mergeCell ref="G48:I48"/>
    <mergeCell ref="J44:L44"/>
    <mergeCell ref="M44:O44"/>
    <mergeCell ref="B47:E47"/>
    <mergeCell ref="G40:I40"/>
    <mergeCell ref="G41:I41"/>
    <mergeCell ref="B50:E50"/>
    <mergeCell ref="G50:I50"/>
    <mergeCell ref="J50:L50"/>
    <mergeCell ref="J40:L40"/>
    <mergeCell ref="J41:L41"/>
    <mergeCell ref="P49:R49"/>
    <mergeCell ref="G46:I46"/>
    <mergeCell ref="J46:L46"/>
    <mergeCell ref="M46:O46"/>
    <mergeCell ref="P46:R46"/>
    <mergeCell ref="P47:R47"/>
    <mergeCell ref="B36:R36"/>
    <mergeCell ref="A37:A50"/>
    <mergeCell ref="B37:E37"/>
    <mergeCell ref="G37:I37"/>
    <mergeCell ref="B45:E45"/>
    <mergeCell ref="G45:I45"/>
    <mergeCell ref="B49:E49"/>
    <mergeCell ref="G49:I49"/>
    <mergeCell ref="J49:L49"/>
    <mergeCell ref="M49:O49"/>
    <mergeCell ref="N1:R1"/>
    <mergeCell ref="N2:O2"/>
    <mergeCell ref="P2:Q2"/>
    <mergeCell ref="F2:M2"/>
    <mergeCell ref="B33:R33"/>
    <mergeCell ref="B34:R34"/>
    <mergeCell ref="B18:E18"/>
    <mergeCell ref="F18:I18"/>
    <mergeCell ref="J18:L18"/>
    <mergeCell ref="M18:R18"/>
    <mergeCell ref="B35:R35"/>
    <mergeCell ref="Q51:R53"/>
    <mergeCell ref="O51:P53"/>
    <mergeCell ref="J45:L45"/>
    <mergeCell ref="M45:O45"/>
    <mergeCell ref="P45:R45"/>
    <mergeCell ref="B46:E46"/>
    <mergeCell ref="G47:I47"/>
    <mergeCell ref="J47:L47"/>
    <mergeCell ref="M47:O47"/>
    <mergeCell ref="B11:R11"/>
    <mergeCell ref="A5:R5"/>
    <mergeCell ref="A7:R7"/>
    <mergeCell ref="A8:R8"/>
    <mergeCell ref="B10:R10"/>
    <mergeCell ref="J17:L17"/>
    <mergeCell ref="B15:R15"/>
    <mergeCell ref="M16:R16"/>
    <mergeCell ref="B17:E17"/>
    <mergeCell ref="F17:I17"/>
    <mergeCell ref="M77:N77"/>
    <mergeCell ref="O67:P68"/>
    <mergeCell ref="Q67:R68"/>
    <mergeCell ref="E67:N67"/>
    <mergeCell ref="Q69:R69"/>
    <mergeCell ref="O69:P69"/>
    <mergeCell ref="M69:N69"/>
    <mergeCell ref="E68:F68"/>
    <mergeCell ref="G68:H68"/>
    <mergeCell ref="I68:J68"/>
    <mergeCell ref="O73:P73"/>
    <mergeCell ref="O74:P74"/>
    <mergeCell ref="O75:P75"/>
    <mergeCell ref="O76:P76"/>
    <mergeCell ref="O77:P77"/>
    <mergeCell ref="M72:N72"/>
    <mergeCell ref="M73:N73"/>
    <mergeCell ref="M74:N74"/>
    <mergeCell ref="M75:N75"/>
    <mergeCell ref="M76:N76"/>
    <mergeCell ref="M51:N53"/>
    <mergeCell ref="K51:L53"/>
    <mergeCell ref="B58:R58"/>
    <mergeCell ref="B61:R61"/>
    <mergeCell ref="B64:R64"/>
    <mergeCell ref="O72:P72"/>
    <mergeCell ref="K68:L68"/>
    <mergeCell ref="M68:N68"/>
    <mergeCell ref="C67:D69"/>
    <mergeCell ref="K54:L54"/>
  </mergeCells>
  <printOptions horizontalCentered="1"/>
  <pageMargins left="0.3937007874015748" right="0.3937007874015748" top="0.984251968503937" bottom="0.3937007874015748" header="0" footer="0"/>
  <pageSetup fitToHeight="5" horizontalDpi="600" verticalDpi="600" orientation="landscape" paperSize="9" scale="52" r:id="rId1"/>
  <rowBreaks count="2" manualBreakCount="2">
    <brk id="15" max="17" man="1"/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60" zoomScaleNormal="60" zoomScalePageLayoutView="0" workbookViewId="0" topLeftCell="A1">
      <selection activeCell="G49" sqref="G49"/>
    </sheetView>
  </sheetViews>
  <sheetFormatPr defaultColWidth="9.140625" defaultRowHeight="15"/>
  <cols>
    <col min="1" max="1" width="21.8515625" style="91" bestFit="1" customWidth="1"/>
    <col min="2" max="3" width="30.140625" style="91" customWidth="1"/>
    <col min="4" max="9" width="26.7109375" style="91" customWidth="1"/>
    <col min="10" max="16384" width="9.140625" style="91" customWidth="1"/>
  </cols>
  <sheetData>
    <row r="1" spans="2:9" ht="18.75" customHeight="1">
      <c r="B1" s="92"/>
      <c r="C1" s="92"/>
      <c r="D1" s="92"/>
      <c r="E1" s="92"/>
      <c r="F1" s="92"/>
      <c r="G1" s="92"/>
      <c r="H1" s="93"/>
      <c r="I1" s="93" t="s">
        <v>75</v>
      </c>
    </row>
    <row r="2" spans="2:9" s="94" customFormat="1" ht="18.75">
      <c r="B2" s="95"/>
      <c r="C2" s="95"/>
      <c r="E2" s="95" t="s">
        <v>1</v>
      </c>
      <c r="F2" s="520" t="str">
        <f>'1. Паспорт'!F2:M2</f>
        <v>филиала "Верхнетагильская ГРЭС" ОАО "ИНТЕР РАО - Электрогенерация"</v>
      </c>
      <c r="G2" s="520"/>
      <c r="H2" s="520"/>
      <c r="I2" s="520"/>
    </row>
    <row r="3" spans="2:9" ht="18.75">
      <c r="B3" s="92"/>
      <c r="C3" s="92"/>
      <c r="D3" s="92"/>
      <c r="E3" s="92"/>
      <c r="G3" s="95" t="s">
        <v>2</v>
      </c>
      <c r="H3" s="96" t="str">
        <f>'1. Паспорт'!P2</f>
        <v>2014-2017</v>
      </c>
      <c r="I3" s="97" t="s">
        <v>4</v>
      </c>
    </row>
    <row r="4" spans="2:9" ht="18.75">
      <c r="B4" s="92"/>
      <c r="C4" s="92"/>
      <c r="D4" s="92"/>
      <c r="E4" s="92"/>
      <c r="I4" s="92"/>
    </row>
    <row r="5" spans="2:9" ht="18.75">
      <c r="B5" s="98"/>
      <c r="C5" s="98"/>
      <c r="D5" s="98"/>
      <c r="E5" s="98"/>
      <c r="F5" s="98"/>
      <c r="G5" s="98"/>
      <c r="H5" s="98"/>
      <c r="I5" s="98"/>
    </row>
    <row r="6" spans="1:9" s="94" customFormat="1" ht="18.75">
      <c r="A6" s="521" t="s">
        <v>76</v>
      </c>
      <c r="B6" s="521"/>
      <c r="C6" s="521"/>
      <c r="D6" s="521"/>
      <c r="E6" s="521"/>
      <c r="F6" s="521"/>
      <c r="G6" s="521"/>
      <c r="H6" s="521"/>
      <c r="I6" s="521"/>
    </row>
    <row r="7" spans="1:9" ht="18.75">
      <c r="A7" s="522" t="str">
        <f>F2</f>
        <v>филиала "Верхнетагильская ГРЭС" ОАО "ИНТЕР РАО - Электрогенерация"</v>
      </c>
      <c r="B7" s="522"/>
      <c r="C7" s="522"/>
      <c r="D7" s="522"/>
      <c r="E7" s="522"/>
      <c r="F7" s="522"/>
      <c r="G7" s="522"/>
      <c r="H7" s="522"/>
      <c r="I7" s="522"/>
    </row>
    <row r="8" spans="1:9" ht="18.75">
      <c r="A8" s="99"/>
      <c r="B8" s="99"/>
      <c r="C8" s="99"/>
      <c r="D8" s="100" t="s">
        <v>2</v>
      </c>
      <c r="E8" s="101" t="str">
        <f>H3</f>
        <v>2014-2017</v>
      </c>
      <c r="F8" s="102" t="s">
        <v>4</v>
      </c>
      <c r="H8" s="99"/>
      <c r="I8" s="99"/>
    </row>
    <row r="9" spans="2:9" ht="19.5" thickBot="1">
      <c r="B9" s="98"/>
      <c r="C9" s="98"/>
      <c r="D9" s="98"/>
      <c r="E9" s="98"/>
      <c r="F9" s="98"/>
      <c r="G9" s="98"/>
      <c r="H9" s="98"/>
      <c r="I9" s="98"/>
    </row>
    <row r="10" spans="1:9" ht="92.25" customHeight="1">
      <c r="A10" s="523" t="s">
        <v>60</v>
      </c>
      <c r="B10" s="524"/>
      <c r="C10" s="191" t="s">
        <v>85</v>
      </c>
      <c r="D10" s="191" t="s">
        <v>77</v>
      </c>
      <c r="E10" s="191" t="s">
        <v>87</v>
      </c>
      <c r="F10" s="185" t="s">
        <v>89</v>
      </c>
      <c r="G10" s="192" t="s">
        <v>90</v>
      </c>
      <c r="H10" s="196" t="s">
        <v>91</v>
      </c>
      <c r="I10" s="103" t="s">
        <v>93</v>
      </c>
    </row>
    <row r="11" spans="1:9" ht="31.5" customHeight="1">
      <c r="A11" s="525"/>
      <c r="B11" s="526"/>
      <c r="C11" s="104" t="s">
        <v>86</v>
      </c>
      <c r="D11" s="143" t="s">
        <v>123</v>
      </c>
      <c r="E11" s="194" t="s">
        <v>88</v>
      </c>
      <c r="F11" s="143" t="s">
        <v>78</v>
      </c>
      <c r="G11" s="105" t="s">
        <v>78</v>
      </c>
      <c r="H11" s="105" t="s">
        <v>92</v>
      </c>
      <c r="I11" s="106" t="s">
        <v>92</v>
      </c>
    </row>
    <row r="12" spans="1:9" ht="19.5" thickBot="1">
      <c r="A12" s="527">
        <v>1</v>
      </c>
      <c r="B12" s="528"/>
      <c r="C12" s="141">
        <f>A12+1</f>
        <v>2</v>
      </c>
      <c r="D12" s="107">
        <f aca="true" t="shared" si="0" ref="D12:I12">C12+1</f>
        <v>3</v>
      </c>
      <c r="E12" s="142">
        <f t="shared" si="0"/>
        <v>4</v>
      </c>
      <c r="F12" s="107">
        <f t="shared" si="0"/>
        <v>5</v>
      </c>
      <c r="G12" s="108">
        <f t="shared" si="0"/>
        <v>6</v>
      </c>
      <c r="H12" s="107">
        <f t="shared" si="0"/>
        <v>7</v>
      </c>
      <c r="I12" s="109">
        <f t="shared" si="0"/>
        <v>8</v>
      </c>
    </row>
    <row r="13" spans="1:9" ht="19.5" customHeight="1">
      <c r="A13" s="529" t="s">
        <v>66</v>
      </c>
      <c r="B13" s="530"/>
      <c r="C13" s="530"/>
      <c r="D13" s="530"/>
      <c r="E13" s="530"/>
      <c r="F13" s="530"/>
      <c r="G13" s="530"/>
      <c r="H13" s="530"/>
      <c r="I13" s="531"/>
    </row>
    <row r="14" spans="1:9" ht="18.75">
      <c r="A14" s="532" t="s">
        <v>70</v>
      </c>
      <c r="B14" s="110" t="s">
        <v>79</v>
      </c>
      <c r="C14" s="174">
        <f>C15+C16</f>
        <v>191.84</v>
      </c>
      <c r="D14" s="144">
        <f>D15+D16</f>
        <v>78.19217026185532</v>
      </c>
      <c r="E14" s="111">
        <f>'4. ПП'!I17</f>
        <v>1.73</v>
      </c>
      <c r="F14" s="111" t="s">
        <v>29</v>
      </c>
      <c r="G14" s="112" t="s">
        <v>29</v>
      </c>
      <c r="H14" s="113">
        <v>0</v>
      </c>
      <c r="I14" s="114">
        <v>0</v>
      </c>
    </row>
    <row r="15" spans="1:9" s="120" customFormat="1" ht="18.75">
      <c r="A15" s="532"/>
      <c r="B15" s="115" t="s">
        <v>80</v>
      </c>
      <c r="C15" s="175">
        <f>'4. ПП'!I14</f>
        <v>191.84</v>
      </c>
      <c r="D15" s="145">
        <f>'4. ПП'!I16</f>
        <v>74.81939006447436</v>
      </c>
      <c r="E15" s="116">
        <f>E14</f>
        <v>1.73</v>
      </c>
      <c r="F15" s="116" t="s">
        <v>29</v>
      </c>
      <c r="G15" s="117" t="s">
        <v>29</v>
      </c>
      <c r="H15" s="118">
        <f>42092.877/2684965*'3. ЦПЭП'!O15</f>
        <v>4.35580417595652</v>
      </c>
      <c r="I15" s="119">
        <f>421.601/2684965*'3. ЦПЭП'!O15</f>
        <v>0.04362760465119657</v>
      </c>
    </row>
    <row r="16" spans="1:9" ht="18.75">
      <c r="A16" s="533"/>
      <c r="B16" s="121" t="s">
        <v>81</v>
      </c>
      <c r="C16" s="150">
        <f>'3. ЦПЭП'!K15</f>
        <v>0</v>
      </c>
      <c r="D16" s="122">
        <f>'3. ЦПЭП'!L15</f>
        <v>3.372780197380963</v>
      </c>
      <c r="E16" s="122">
        <f>E14-E15</f>
        <v>0</v>
      </c>
      <c r="F16" s="122" t="s">
        <v>29</v>
      </c>
      <c r="G16" s="123" t="s">
        <v>29</v>
      </c>
      <c r="H16" s="124">
        <f>H15-H14</f>
        <v>4.35580417595652</v>
      </c>
      <c r="I16" s="125">
        <f>I15-I14</f>
        <v>0.04362760465119657</v>
      </c>
    </row>
    <row r="17" spans="1:9" ht="18.75">
      <c r="A17" s="532" t="s">
        <v>71</v>
      </c>
      <c r="B17" s="126" t="s">
        <v>79</v>
      </c>
      <c r="C17" s="147" t="s">
        <v>29</v>
      </c>
      <c r="D17" s="204">
        <f>'4. ПП'!I44</f>
        <v>7.273051651807787</v>
      </c>
      <c r="E17" s="204" t="s">
        <v>29</v>
      </c>
      <c r="F17" s="204">
        <f>'4. ПП'!I45</f>
        <v>86.7065520176467</v>
      </c>
      <c r="G17" s="128">
        <f>'4. ПП'!I46</f>
        <v>35.50337819637881</v>
      </c>
      <c r="H17" s="129" t="s">
        <v>29</v>
      </c>
      <c r="I17" s="130" t="s">
        <v>29</v>
      </c>
    </row>
    <row r="18" spans="1:9" s="120" customFormat="1" ht="18.75">
      <c r="A18" s="532"/>
      <c r="B18" s="115" t="s">
        <v>80</v>
      </c>
      <c r="C18" s="148" t="s">
        <v>29</v>
      </c>
      <c r="D18" s="145">
        <f>D17-D19</f>
        <v>7.273051651807787</v>
      </c>
      <c r="E18" s="116" t="s">
        <v>29</v>
      </c>
      <c r="F18" s="116">
        <f>('4. ПП'!I30-'3. ЦПЭП'!D16/1000)/'4. ПП'!I29*100/'4. ПП'!H31*100</f>
        <v>86.27054007966635</v>
      </c>
      <c r="G18" s="117">
        <f>('4. ПП'!I38-'3. ЦПЭП'!H16/1000)/'4. ПП'!I37*100/'4. ПП'!H39*100</f>
        <v>35.50337819637881</v>
      </c>
      <c r="H18" s="118" t="s">
        <v>29</v>
      </c>
      <c r="I18" s="119" t="s">
        <v>29</v>
      </c>
    </row>
    <row r="19" spans="1:9" ht="19.5" thickBot="1">
      <c r="A19" s="534"/>
      <c r="B19" s="131" t="s">
        <v>81</v>
      </c>
      <c r="C19" s="149" t="s">
        <v>29</v>
      </c>
      <c r="D19" s="132">
        <f>'3. ЦПЭП'!L16</f>
        <v>0</v>
      </c>
      <c r="E19" s="132" t="s">
        <v>29</v>
      </c>
      <c r="F19" s="132">
        <f>F17-F18</f>
        <v>0.43601193798035354</v>
      </c>
      <c r="G19" s="133">
        <f>G17-G18</f>
        <v>0</v>
      </c>
      <c r="H19" s="134" t="s">
        <v>29</v>
      </c>
      <c r="I19" s="135" t="s">
        <v>29</v>
      </c>
    </row>
    <row r="20" spans="1:9" s="136" customFormat="1" ht="19.5">
      <c r="A20" s="538" t="s">
        <v>82</v>
      </c>
      <c r="B20" s="539"/>
      <c r="C20" s="539"/>
      <c r="D20" s="539"/>
      <c r="E20" s="539"/>
      <c r="F20" s="539"/>
      <c r="G20" s="539"/>
      <c r="H20" s="539"/>
      <c r="I20" s="540"/>
    </row>
    <row r="21" spans="1:9" ht="18.75">
      <c r="A21" s="532" t="s">
        <v>70</v>
      </c>
      <c r="B21" s="137" t="s">
        <v>79</v>
      </c>
      <c r="C21" s="174">
        <f>C22+C23</f>
        <v>192.32142353486026</v>
      </c>
      <c r="D21" s="144">
        <f>D22+D23</f>
        <v>78.44716219918604</v>
      </c>
      <c r="E21" s="138">
        <f>'4. ПП'!J17</f>
        <v>8.11</v>
      </c>
      <c r="F21" s="111" t="s">
        <v>29</v>
      </c>
      <c r="G21" s="112" t="s">
        <v>29</v>
      </c>
      <c r="H21" s="139">
        <v>0</v>
      </c>
      <c r="I21" s="140">
        <v>0</v>
      </c>
    </row>
    <row r="22" spans="1:9" ht="18.75">
      <c r="A22" s="532"/>
      <c r="B22" s="115" t="s">
        <v>80</v>
      </c>
      <c r="C22" s="175">
        <f>'4. ПП'!J14</f>
        <v>192.29</v>
      </c>
      <c r="D22" s="145">
        <f>'4. ПП'!J16</f>
        <v>75.01</v>
      </c>
      <c r="E22" s="116">
        <f>E21</f>
        <v>8.11</v>
      </c>
      <c r="F22" s="116" t="s">
        <v>29</v>
      </c>
      <c r="G22" s="117" t="s">
        <v>29</v>
      </c>
      <c r="H22" s="118">
        <f>42092.877/2684965*'3. ЦПЭП'!O18</f>
        <v>8.012488599453397</v>
      </c>
      <c r="I22" s="119">
        <f>421.601/2684965*'3. ЦПЭП'!O18</f>
        <v>0.08025284672316771</v>
      </c>
    </row>
    <row r="23" spans="1:9" ht="18.75">
      <c r="A23" s="533"/>
      <c r="B23" s="121" t="s">
        <v>81</v>
      </c>
      <c r="C23" s="151">
        <f>'3. ЦПЭП'!K18</f>
        <v>0.03142353486025913</v>
      </c>
      <c r="D23" s="123">
        <f>'3. ЦПЭП'!L18</f>
        <v>3.43716219918604</v>
      </c>
      <c r="E23" s="122">
        <f>E21-E22</f>
        <v>0</v>
      </c>
      <c r="F23" s="122" t="s">
        <v>29</v>
      </c>
      <c r="G23" s="123" t="s">
        <v>29</v>
      </c>
      <c r="H23" s="124">
        <f>H22-H21</f>
        <v>8.012488599453397</v>
      </c>
      <c r="I23" s="125">
        <f>I22-I21</f>
        <v>0.08025284672316771</v>
      </c>
    </row>
    <row r="24" spans="1:9" ht="18.75">
      <c r="A24" s="532" t="s">
        <v>71</v>
      </c>
      <c r="B24" s="126" t="s">
        <v>79</v>
      </c>
      <c r="C24" s="147" t="s">
        <v>29</v>
      </c>
      <c r="D24" s="146">
        <f>'4. ПП'!J44</f>
        <v>8.601398121631384</v>
      </c>
      <c r="E24" s="204" t="s">
        <v>29</v>
      </c>
      <c r="F24" s="204">
        <f>'4. ПП'!J45</f>
        <v>99.74957898811384</v>
      </c>
      <c r="G24" s="128">
        <f>'4. ПП'!J46</f>
        <v>100</v>
      </c>
      <c r="H24" s="129" t="s">
        <v>29</v>
      </c>
      <c r="I24" s="130" t="s">
        <v>29</v>
      </c>
    </row>
    <row r="25" spans="1:9" ht="18.75">
      <c r="A25" s="532"/>
      <c r="B25" s="115" t="s">
        <v>80</v>
      </c>
      <c r="C25" s="148" t="s">
        <v>29</v>
      </c>
      <c r="D25" s="145">
        <f>D24-D26</f>
        <v>7.4601514545142695</v>
      </c>
      <c r="E25" s="116" t="s">
        <v>29</v>
      </c>
      <c r="F25" s="116">
        <f>('4. ПП'!J30-'3. ЦПЭП'!D19/1000)/'4. ПП'!J29*100/'4. ПП'!I31*100</f>
        <v>92.99256752090818</v>
      </c>
      <c r="G25" s="117">
        <f>('4. ПП'!J38-'3. ЦПЭП'!H19/1000)/'4. ПП'!J37*100/'4. ПП'!I39*100</f>
        <v>100</v>
      </c>
      <c r="H25" s="118" t="s">
        <v>29</v>
      </c>
      <c r="I25" s="119" t="s">
        <v>29</v>
      </c>
    </row>
    <row r="26" spans="1:9" ht="19.5" thickBot="1">
      <c r="A26" s="534"/>
      <c r="B26" s="131" t="s">
        <v>81</v>
      </c>
      <c r="C26" s="149" t="s">
        <v>29</v>
      </c>
      <c r="D26" s="133">
        <f>'3. ЦПЭП'!L19</f>
        <v>1.1412466671171146</v>
      </c>
      <c r="E26" s="132" t="s">
        <v>29</v>
      </c>
      <c r="F26" s="132">
        <f>F24-F25</f>
        <v>6.757011467205658</v>
      </c>
      <c r="G26" s="133">
        <f>G24-G25</f>
        <v>0</v>
      </c>
      <c r="H26" s="134" t="s">
        <v>29</v>
      </c>
      <c r="I26" s="135" t="s">
        <v>29</v>
      </c>
    </row>
    <row r="27" spans="1:9" ht="19.5">
      <c r="A27" s="517" t="s">
        <v>83</v>
      </c>
      <c r="B27" s="518"/>
      <c r="C27" s="518"/>
      <c r="D27" s="518"/>
      <c r="E27" s="518"/>
      <c r="F27" s="518"/>
      <c r="G27" s="518"/>
      <c r="H27" s="518"/>
      <c r="I27" s="519"/>
    </row>
    <row r="28" spans="1:9" ht="18.75">
      <c r="A28" s="532" t="s">
        <v>70</v>
      </c>
      <c r="B28" s="110" t="s">
        <v>79</v>
      </c>
      <c r="C28" s="174">
        <f>C29+C30</f>
        <v>172.839584623481</v>
      </c>
      <c r="D28" s="144">
        <f>D29+D30</f>
        <v>78.79569806771508</v>
      </c>
      <c r="E28" s="111">
        <f>'4. ПП'!K17</f>
        <v>8.11</v>
      </c>
      <c r="F28" s="111" t="s">
        <v>29</v>
      </c>
      <c r="G28" s="112" t="s">
        <v>29</v>
      </c>
      <c r="H28" s="113">
        <v>0</v>
      </c>
      <c r="I28" s="114">
        <v>0</v>
      </c>
    </row>
    <row r="29" spans="1:9" ht="18.75">
      <c r="A29" s="532"/>
      <c r="B29" s="115" t="s">
        <v>80</v>
      </c>
      <c r="C29" s="175">
        <f>'4. ПП'!K14</f>
        <v>161</v>
      </c>
      <c r="D29" s="145">
        <f>'4. ПП'!K16</f>
        <v>78.79569806771508</v>
      </c>
      <c r="E29" s="116">
        <f>E28</f>
        <v>8.11</v>
      </c>
      <c r="F29" s="116" t="s">
        <v>29</v>
      </c>
      <c r="G29" s="117" t="s">
        <v>29</v>
      </c>
      <c r="H29" s="118">
        <f>42092.877/2684965*'3. ЦПЭП'!O21</f>
        <v>49.957390041511665</v>
      </c>
      <c r="I29" s="119">
        <f>421.601/2684965*'3. ЦПЭП'!O21</f>
        <v>0.5003717279503457</v>
      </c>
    </row>
    <row r="30" spans="1:9" ht="18.75">
      <c r="A30" s="533"/>
      <c r="B30" s="121" t="s">
        <v>81</v>
      </c>
      <c r="C30" s="150">
        <f>'3. ЦПЭП'!K21</f>
        <v>11.839584623480986</v>
      </c>
      <c r="D30" s="122">
        <f>'3. ЦПЭП'!L21</f>
        <v>0</v>
      </c>
      <c r="E30" s="122">
        <f>E28-E29</f>
        <v>0</v>
      </c>
      <c r="F30" s="122" t="s">
        <v>29</v>
      </c>
      <c r="G30" s="123" t="s">
        <v>29</v>
      </c>
      <c r="H30" s="124">
        <f>H29-H28</f>
        <v>49.957390041511665</v>
      </c>
      <c r="I30" s="125">
        <f>I29-I28</f>
        <v>0.5003717279503457</v>
      </c>
    </row>
    <row r="31" spans="1:9" ht="18.75">
      <c r="A31" s="532" t="s">
        <v>71</v>
      </c>
      <c r="B31" s="126" t="s">
        <v>79</v>
      </c>
      <c r="C31" s="147" t="s">
        <v>29</v>
      </c>
      <c r="D31" s="204">
        <f>'4. ПП'!K44</f>
        <v>8.601398121631384</v>
      </c>
      <c r="E31" s="204" t="s">
        <v>29</v>
      </c>
      <c r="F31" s="204">
        <f>'4. ПП'!K45</f>
        <v>100</v>
      </c>
      <c r="G31" s="128">
        <f>'4. ПП'!K46</f>
        <v>100</v>
      </c>
      <c r="H31" s="129" t="s">
        <v>29</v>
      </c>
      <c r="I31" s="130" t="s">
        <v>29</v>
      </c>
    </row>
    <row r="32" spans="1:9" ht="18.75">
      <c r="A32" s="532"/>
      <c r="B32" s="115" t="s">
        <v>80</v>
      </c>
      <c r="C32" s="148" t="s">
        <v>29</v>
      </c>
      <c r="D32" s="145">
        <f>D31-D33</f>
        <v>7.249653588079063</v>
      </c>
      <c r="E32" s="116" t="s">
        <v>29</v>
      </c>
      <c r="F32" s="116">
        <f>('4. ПП'!K30-'3. ЦПЭП'!D22/1000)/'4. ПП'!K29*100/'4. ПП'!J31*100</f>
        <v>91.79091833276856</v>
      </c>
      <c r="G32" s="117">
        <f>('4. ПП'!K38-'3. ЦПЭП'!H22/1000)/'4. ПП'!K37*100/'4. ПП'!J39*100</f>
        <v>100</v>
      </c>
      <c r="H32" s="118" t="s">
        <v>29</v>
      </c>
      <c r="I32" s="119" t="s">
        <v>29</v>
      </c>
    </row>
    <row r="33" spans="1:9" ht="19.5" thickBot="1">
      <c r="A33" s="534"/>
      <c r="B33" s="131" t="s">
        <v>81</v>
      </c>
      <c r="C33" s="149" t="s">
        <v>29</v>
      </c>
      <c r="D33" s="133">
        <f>'3. ЦПЭП'!L22</f>
        <v>1.3517445335523204</v>
      </c>
      <c r="E33" s="132" t="s">
        <v>29</v>
      </c>
      <c r="F33" s="132">
        <f>F31-F32</f>
        <v>8.209081667231445</v>
      </c>
      <c r="G33" s="133">
        <f>G31-G32</f>
        <v>0</v>
      </c>
      <c r="H33" s="134" t="s">
        <v>29</v>
      </c>
      <c r="I33" s="135" t="s">
        <v>29</v>
      </c>
    </row>
    <row r="34" spans="1:9" ht="19.5">
      <c r="A34" s="535" t="s">
        <v>84</v>
      </c>
      <c r="B34" s="536"/>
      <c r="C34" s="536"/>
      <c r="D34" s="536"/>
      <c r="E34" s="536"/>
      <c r="F34" s="536"/>
      <c r="G34" s="536"/>
      <c r="H34" s="536"/>
      <c r="I34" s="537"/>
    </row>
    <row r="35" spans="1:9" ht="18.75">
      <c r="A35" s="532" t="s">
        <v>70</v>
      </c>
      <c r="B35" s="110" t="s">
        <v>79</v>
      </c>
      <c r="C35" s="174">
        <f>C36+C37</f>
        <v>192.44648412712678</v>
      </c>
      <c r="D35" s="144">
        <f>D36+D37</f>
        <v>78.79569806771508</v>
      </c>
      <c r="E35" s="111">
        <f>'4. ПП'!L17</f>
        <v>8.11</v>
      </c>
      <c r="F35" s="111" t="s">
        <v>29</v>
      </c>
      <c r="G35" s="112" t="s">
        <v>29</v>
      </c>
      <c r="H35" s="139">
        <v>0</v>
      </c>
      <c r="I35" s="114">
        <v>0</v>
      </c>
    </row>
    <row r="36" spans="1:9" ht="18.75">
      <c r="A36" s="532"/>
      <c r="B36" s="115" t="s">
        <v>80</v>
      </c>
      <c r="C36" s="175">
        <f>'4. ПП'!L14</f>
        <v>161</v>
      </c>
      <c r="D36" s="145">
        <f>'4. ПП'!L16</f>
        <v>78.79569806771508</v>
      </c>
      <c r="E36" s="116">
        <f>E35</f>
        <v>8.11</v>
      </c>
      <c r="F36" s="116" t="s">
        <v>29</v>
      </c>
      <c r="G36" s="117" t="s">
        <v>29</v>
      </c>
      <c r="H36" s="118">
        <f>42092.877/2684965*'3. ЦПЭП'!O24</f>
        <v>122.96201708956293</v>
      </c>
      <c r="I36" s="119">
        <f>421.601/2684965*'3. ЦПЭП'!O24</f>
        <v>1.2315838940392891</v>
      </c>
    </row>
    <row r="37" spans="1:9" ht="18.75">
      <c r="A37" s="533"/>
      <c r="B37" s="121" t="s">
        <v>81</v>
      </c>
      <c r="C37" s="150">
        <f>'3. ЦПЭП'!K24</f>
        <v>31.44648412712679</v>
      </c>
      <c r="D37" s="122">
        <f>'3. ЦПЭП'!L24</f>
        <v>0</v>
      </c>
      <c r="E37" s="122">
        <f>E35-E36</f>
        <v>0</v>
      </c>
      <c r="F37" s="122" t="s">
        <v>29</v>
      </c>
      <c r="G37" s="123" t="s">
        <v>29</v>
      </c>
      <c r="H37" s="124">
        <f>H36-H35</f>
        <v>122.96201708956293</v>
      </c>
      <c r="I37" s="125">
        <f>I36-I35</f>
        <v>1.2315838940392891</v>
      </c>
    </row>
    <row r="38" spans="1:9" ht="18.75">
      <c r="A38" s="532" t="s">
        <v>71</v>
      </c>
      <c r="B38" s="126" t="s">
        <v>79</v>
      </c>
      <c r="C38" s="147" t="s">
        <v>29</v>
      </c>
      <c r="D38" s="146">
        <f>'4. ПП'!L44</f>
        <v>8.601398121631384</v>
      </c>
      <c r="E38" s="204" t="s">
        <v>29</v>
      </c>
      <c r="F38" s="204">
        <f>'4. ПП'!L45</f>
        <v>100</v>
      </c>
      <c r="G38" s="128">
        <f>'4. ПП'!L46</f>
        <v>100</v>
      </c>
      <c r="H38" s="129" t="s">
        <v>29</v>
      </c>
      <c r="I38" s="130" t="s">
        <v>29</v>
      </c>
    </row>
    <row r="39" spans="1:9" ht="18.75">
      <c r="A39" s="532"/>
      <c r="B39" s="115" t="s">
        <v>80</v>
      </c>
      <c r="C39" s="148" t="s">
        <v>29</v>
      </c>
      <c r="D39" s="145">
        <f>D38-D40</f>
        <v>7.249653588079063</v>
      </c>
      <c r="E39" s="116" t="s">
        <v>29</v>
      </c>
      <c r="F39" s="116">
        <f>('4. ПП'!L30-'3. ЦПЭП'!D25/1000)/'4. ПП'!L29*100/'4. ПП'!K31*100</f>
        <v>91.29362927821079</v>
      </c>
      <c r="G39" s="117">
        <f>('4. ПП'!L38-'3. ЦПЭП'!H25/1000)/'4. ПП'!L37*100/'4. ПП'!K39*100</f>
        <v>97.79264697250854</v>
      </c>
      <c r="H39" s="118" t="s">
        <v>29</v>
      </c>
      <c r="I39" s="119" t="s">
        <v>29</v>
      </c>
    </row>
    <row r="40" spans="1:9" ht="19.5" thickBot="1">
      <c r="A40" s="534"/>
      <c r="B40" s="131" t="s">
        <v>81</v>
      </c>
      <c r="C40" s="149" t="s">
        <v>29</v>
      </c>
      <c r="D40" s="133">
        <f>'3. ЦПЭП'!L25</f>
        <v>1.3517445335523204</v>
      </c>
      <c r="E40" s="132" t="s">
        <v>29</v>
      </c>
      <c r="F40" s="132">
        <f>F38-F39</f>
        <v>8.706370721789213</v>
      </c>
      <c r="G40" s="133">
        <f>G38-G39</f>
        <v>2.2073530274914646</v>
      </c>
      <c r="H40" s="134" t="s">
        <v>29</v>
      </c>
      <c r="I40" s="135" t="s">
        <v>29</v>
      </c>
    </row>
  </sheetData>
  <sheetProtection/>
  <mergeCells count="17">
    <mergeCell ref="A28:A30"/>
    <mergeCell ref="A31:A33"/>
    <mergeCell ref="A34:I34"/>
    <mergeCell ref="A35:A37"/>
    <mergeCell ref="A38:A40"/>
    <mergeCell ref="A14:A16"/>
    <mergeCell ref="A17:A19"/>
    <mergeCell ref="A20:I20"/>
    <mergeCell ref="A21:A23"/>
    <mergeCell ref="A24:A26"/>
    <mergeCell ref="A27:I27"/>
    <mergeCell ref="F2:I2"/>
    <mergeCell ref="A6:I6"/>
    <mergeCell ref="A7:I7"/>
    <mergeCell ref="A10:B11"/>
    <mergeCell ref="A12:B12"/>
    <mergeCell ref="A13:I13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view="pageBreakPreview" zoomScale="60" zoomScaleNormal="60" zoomScalePageLayoutView="0" workbookViewId="0" topLeftCell="A1">
      <selection activeCell="H28" sqref="H28"/>
    </sheetView>
  </sheetViews>
  <sheetFormatPr defaultColWidth="9.140625" defaultRowHeight="15"/>
  <cols>
    <col min="1" max="1" width="23.28125" style="0" bestFit="1" customWidth="1"/>
    <col min="2" max="3" width="20.7109375" style="0" customWidth="1"/>
    <col min="4" max="9" width="20.7109375" style="63" customWidth="1"/>
    <col min="10" max="10" width="28.00390625" style="0" customWidth="1"/>
    <col min="11" max="11" width="28.00390625" style="63" customWidth="1"/>
    <col min="12" max="13" width="24.7109375" style="0" customWidth="1"/>
  </cols>
  <sheetData>
    <row r="1" spans="1:13" ht="18.75" customHeight="1">
      <c r="A1" s="63"/>
      <c r="B1" s="55"/>
      <c r="C1" s="55"/>
      <c r="D1" s="55"/>
      <c r="E1" s="55"/>
      <c r="F1" s="55"/>
      <c r="G1" s="55"/>
      <c r="H1" s="64"/>
      <c r="I1" s="64"/>
      <c r="J1" s="64"/>
      <c r="K1" s="64"/>
      <c r="L1" s="553" t="s">
        <v>58</v>
      </c>
      <c r="M1" s="553"/>
    </row>
    <row r="2" spans="1:13" ht="18.75">
      <c r="A2" s="57"/>
      <c r="B2" s="57"/>
      <c r="C2" s="57"/>
      <c r="D2" s="65"/>
      <c r="E2" s="65"/>
      <c r="F2" s="65"/>
      <c r="G2" s="65"/>
      <c r="I2" s="3" t="s">
        <v>1</v>
      </c>
      <c r="J2" s="541" t="str">
        <f>'1. Паспорт'!F2</f>
        <v>филиала "Верхнетагильская ГРЭС" ОАО "ИНТЕР РАО - Электрогенерация"</v>
      </c>
      <c r="K2" s="541"/>
      <c r="L2" s="541"/>
      <c r="M2" s="541"/>
    </row>
    <row r="3" spans="1:13" ht="18.75">
      <c r="A3" s="54"/>
      <c r="B3" s="55"/>
      <c r="C3" s="54"/>
      <c r="H3" s="64"/>
      <c r="I3" s="64"/>
      <c r="J3" s="56"/>
      <c r="K3" s="95" t="s">
        <v>2</v>
      </c>
      <c r="L3" s="14" t="str">
        <f>'1. Паспорт'!P2</f>
        <v>2014-2017</v>
      </c>
      <c r="M3" s="4" t="s">
        <v>4</v>
      </c>
    </row>
    <row r="4" spans="1:13" ht="18.75">
      <c r="A4" s="54"/>
      <c r="B4" s="55"/>
      <c r="C4" s="54"/>
      <c r="D4" s="55"/>
      <c r="E4" s="55"/>
      <c r="F4" s="55"/>
      <c r="G4" s="55"/>
      <c r="J4" s="54"/>
      <c r="L4" s="54"/>
      <c r="M4" s="54"/>
    </row>
    <row r="5" spans="1:13" ht="15.75">
      <c r="A5" s="54"/>
      <c r="B5" s="58"/>
      <c r="C5" s="58"/>
      <c r="D5" s="58"/>
      <c r="E5" s="58"/>
      <c r="F5" s="58"/>
      <c r="G5" s="58"/>
      <c r="J5" s="54"/>
      <c r="L5" s="54"/>
      <c r="M5" s="54"/>
    </row>
    <row r="6" spans="1:13" ht="18.75">
      <c r="A6" s="545" t="s">
        <v>59</v>
      </c>
      <c r="B6" s="545"/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</row>
    <row r="7" spans="1:13" ht="18.75">
      <c r="A7" s="546" t="str">
        <f>J2</f>
        <v>филиала "Верхнетагильская ГРЭС" ОАО "ИНТЕР РАО - Электрогенерация"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</row>
    <row r="8" spans="1:13" ht="18.75">
      <c r="A8" s="59"/>
      <c r="B8" s="56"/>
      <c r="C8" s="56"/>
      <c r="F8" s="229" t="s">
        <v>2</v>
      </c>
      <c r="G8" s="228" t="str">
        <f>L3</f>
        <v>2014-2017</v>
      </c>
      <c r="H8" s="66" t="s">
        <v>233</v>
      </c>
      <c r="I8" s="66"/>
      <c r="J8" s="54"/>
      <c r="L8" s="56"/>
      <c r="M8" s="56"/>
    </row>
    <row r="9" spans="1:13" ht="19.5" thickBot="1">
      <c r="A9" s="60"/>
      <c r="B9" s="61"/>
      <c r="C9" s="62"/>
      <c r="D9" s="60"/>
      <c r="E9" s="60"/>
      <c r="F9" s="60"/>
      <c r="G9" s="60"/>
      <c r="J9" s="54"/>
      <c r="L9" s="54"/>
      <c r="M9" s="54"/>
    </row>
    <row r="10" spans="1:13" ht="18.75">
      <c r="A10" s="557" t="s">
        <v>60</v>
      </c>
      <c r="B10" s="560" t="s">
        <v>61</v>
      </c>
      <c r="C10" s="561"/>
      <c r="D10" s="561"/>
      <c r="E10" s="561"/>
      <c r="F10" s="561"/>
      <c r="G10" s="561"/>
      <c r="H10" s="561"/>
      <c r="I10" s="561"/>
      <c r="J10" s="561"/>
      <c r="K10" s="550" t="s">
        <v>73</v>
      </c>
      <c r="L10" s="550" t="s">
        <v>74</v>
      </c>
      <c r="M10" s="562" t="s">
        <v>62</v>
      </c>
    </row>
    <row r="11" spans="1:13" s="63" customFormat="1" ht="18.75" customHeight="1">
      <c r="A11" s="558"/>
      <c r="B11" s="547" t="s">
        <v>14</v>
      </c>
      <c r="C11" s="548"/>
      <c r="D11" s="547" t="s">
        <v>30</v>
      </c>
      <c r="E11" s="548"/>
      <c r="F11" s="547" t="s">
        <v>32</v>
      </c>
      <c r="G11" s="549"/>
      <c r="H11" s="547" t="s">
        <v>34</v>
      </c>
      <c r="I11" s="548"/>
      <c r="J11" s="554" t="s">
        <v>72</v>
      </c>
      <c r="K11" s="551"/>
      <c r="L11" s="551"/>
      <c r="M11" s="563"/>
    </row>
    <row r="12" spans="1:13" ht="18.75" customHeight="1">
      <c r="A12" s="558"/>
      <c r="B12" s="67" t="s">
        <v>63</v>
      </c>
      <c r="C12" s="68" t="s">
        <v>64</v>
      </c>
      <c r="D12" s="67" t="s">
        <v>63</v>
      </c>
      <c r="E12" s="68" t="s">
        <v>64</v>
      </c>
      <c r="F12" s="67" t="s">
        <v>63</v>
      </c>
      <c r="G12" s="68" t="s">
        <v>64</v>
      </c>
      <c r="H12" s="67" t="s">
        <v>63</v>
      </c>
      <c r="I12" s="68" t="s">
        <v>64</v>
      </c>
      <c r="J12" s="555"/>
      <c r="K12" s="551"/>
      <c r="L12" s="551"/>
      <c r="M12" s="563"/>
    </row>
    <row r="13" spans="1:13" ht="18.75" customHeight="1">
      <c r="A13" s="559"/>
      <c r="B13" s="67" t="s">
        <v>65</v>
      </c>
      <c r="C13" s="68" t="s">
        <v>35</v>
      </c>
      <c r="D13" s="67" t="s">
        <v>31</v>
      </c>
      <c r="E13" s="68" t="s">
        <v>35</v>
      </c>
      <c r="F13" s="67" t="s">
        <v>33</v>
      </c>
      <c r="G13" s="68" t="s">
        <v>35</v>
      </c>
      <c r="H13" s="67" t="s">
        <v>16</v>
      </c>
      <c r="I13" s="68" t="s">
        <v>35</v>
      </c>
      <c r="J13" s="556"/>
      <c r="K13" s="552"/>
      <c r="L13" s="552"/>
      <c r="M13" s="564"/>
    </row>
    <row r="14" spans="1:13" ht="19.5">
      <c r="A14" s="542" t="s">
        <v>66</v>
      </c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4"/>
    </row>
    <row r="15" spans="1:15" ht="18.75" customHeight="1">
      <c r="A15" s="69" t="s">
        <v>70</v>
      </c>
      <c r="B15" s="75">
        <f>'5. Производство т.э.'!F20</f>
        <v>690</v>
      </c>
      <c r="C15" s="73">
        <f>'5. Производство т.э.'!G20</f>
        <v>717.6</v>
      </c>
      <c r="D15" s="70">
        <f>'5. Производство т.э.'!H20</f>
        <v>0</v>
      </c>
      <c r="E15" s="72">
        <f>'5. Производство т.э.'!I20</f>
        <v>0</v>
      </c>
      <c r="F15" s="70">
        <f>'5. Производство т.э.'!J20</f>
        <v>0</v>
      </c>
      <c r="G15" s="72">
        <f>'5. Производство т.э.'!K20</f>
        <v>0</v>
      </c>
      <c r="H15" s="70" t="s">
        <v>29</v>
      </c>
      <c r="I15" s="76" t="s">
        <v>29</v>
      </c>
      <c r="J15" s="250">
        <f>'5. Производство т.э.'!L20</f>
        <v>717.6</v>
      </c>
      <c r="K15" s="250">
        <f>F15/'4. ПП'!I11+(D15/1000)/'4. ПП'!I13</f>
        <v>0</v>
      </c>
      <c r="L15" s="250">
        <f>B15/'4. ПП'!I11</f>
        <v>3.372780197380963</v>
      </c>
      <c r="M15" s="251">
        <f>'5. Производство т.э.'!M20</f>
        <v>154696.5</v>
      </c>
      <c r="O15">
        <f>F15+D15*'4. ПП'!I14/1000+B15*0.40267</f>
        <v>277.84229999999997</v>
      </c>
    </row>
    <row r="16" spans="1:13" ht="18.75" customHeight="1">
      <c r="A16" s="81" t="s">
        <v>71</v>
      </c>
      <c r="B16" s="82">
        <f>'6. Передача т.э.'!F23</f>
        <v>0</v>
      </c>
      <c r="C16" s="83">
        <f>'6. Передача т.э.'!G23</f>
        <v>0</v>
      </c>
      <c r="D16" s="82">
        <f>'6. Передача т.э.'!H23</f>
        <v>303.375</v>
      </c>
      <c r="E16" s="83">
        <f>'6. Передача т.э.'!I23</f>
        <v>160.14132380052018</v>
      </c>
      <c r="F16" s="84" t="s">
        <v>29</v>
      </c>
      <c r="G16" s="85" t="s">
        <v>29</v>
      </c>
      <c r="H16" s="82">
        <f>'6. Передача т.э.'!J23</f>
        <v>0</v>
      </c>
      <c r="I16" s="83">
        <f>'6. Передача т.э.'!K23</f>
        <v>0</v>
      </c>
      <c r="J16" s="82">
        <f>'6. Передача т.э.'!L23</f>
        <v>160.14132380052018</v>
      </c>
      <c r="K16" s="82" t="s">
        <v>29</v>
      </c>
      <c r="L16" s="252">
        <f>B16/'4. ПП'!I29</f>
        <v>0</v>
      </c>
      <c r="M16" s="253">
        <f>'6. Передача т.э.'!M23</f>
        <v>7800</v>
      </c>
    </row>
    <row r="17" spans="1:13" ht="19.5">
      <c r="A17" s="542" t="s">
        <v>67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4"/>
    </row>
    <row r="18" spans="1:15" ht="18.75" customHeight="1">
      <c r="A18" s="69" t="s">
        <v>70</v>
      </c>
      <c r="B18" s="70">
        <f>'5. Производство т.э.'!P20</f>
        <v>690</v>
      </c>
      <c r="C18" s="76">
        <f>'5. Производство т.э.'!Q20</f>
        <v>762.8088</v>
      </c>
      <c r="D18" s="70">
        <f>'5. Производство т.э.'!R20</f>
        <v>1213</v>
      </c>
      <c r="E18" s="76">
        <f>'5. Производство т.э.'!S20</f>
        <v>652.6992784438725</v>
      </c>
      <c r="F18" s="70">
        <f>'5. Производство т.э.'!T20</f>
        <v>0</v>
      </c>
      <c r="G18" s="76">
        <f>'5. Производство т.э.'!U20</f>
        <v>0</v>
      </c>
      <c r="H18" s="70" t="s">
        <v>29</v>
      </c>
      <c r="I18" s="76" t="s">
        <v>29</v>
      </c>
      <c r="J18" s="70">
        <f>'5. Производство т.э.'!V20</f>
        <v>1415.5080784438724</v>
      </c>
      <c r="K18" s="70">
        <f>F18/'4. ПП'!J11+(D18/1000)/'4. ПП'!J13</f>
        <v>0.03142353486025913</v>
      </c>
      <c r="L18" s="250">
        <f>B18/'4. ПП'!J11</f>
        <v>3.43716219918604</v>
      </c>
      <c r="M18" s="251">
        <f>'5. Производство т.э.'!W20</f>
        <v>385897.298305085</v>
      </c>
      <c r="O18" s="63">
        <f>F18+D18*'4. ПП'!J14/1000+B18*0.40267</f>
        <v>511.09006999999997</v>
      </c>
    </row>
    <row r="19" spans="1:13" ht="18.75" customHeight="1">
      <c r="A19" s="81" t="s">
        <v>71</v>
      </c>
      <c r="B19" s="82">
        <f>'6. Передача т.э.'!P23</f>
        <v>219.577</v>
      </c>
      <c r="C19" s="83">
        <f>'6. Передача т.э.'!Q23</f>
        <v>928.3847229747431</v>
      </c>
      <c r="D19" s="84">
        <f>'6. Передача т.э.'!R23</f>
        <v>3998</v>
      </c>
      <c r="E19" s="85">
        <f>'6. Передача т.э.'!S23</f>
        <v>2151.270993584997</v>
      </c>
      <c r="F19" s="84" t="s">
        <v>29</v>
      </c>
      <c r="G19" s="85" t="s">
        <v>29</v>
      </c>
      <c r="H19" s="84">
        <f>'6. Передача т.э.'!T23</f>
        <v>0</v>
      </c>
      <c r="I19" s="85">
        <f>'6. Передача т.э.'!U23</f>
        <v>0</v>
      </c>
      <c r="J19" s="82">
        <f>'6. Передача т.э.'!V23</f>
        <v>3079.65571655974</v>
      </c>
      <c r="K19" s="82" t="s">
        <v>29</v>
      </c>
      <c r="L19" s="252">
        <f>B19/'4. ПП'!J29</f>
        <v>1.1412466671171146</v>
      </c>
      <c r="M19" s="253">
        <f>'6. Передача т.э.'!W23</f>
        <v>9322</v>
      </c>
    </row>
    <row r="20" spans="1:13" ht="19.5">
      <c r="A20" s="542" t="s">
        <v>68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  <c r="L20" s="543"/>
      <c r="M20" s="544"/>
    </row>
    <row r="21" spans="1:15" ht="18.75" customHeight="1">
      <c r="A21" s="69" t="s">
        <v>70</v>
      </c>
      <c r="B21" s="70">
        <f>'5. Производство т.э.'!Z20</f>
        <v>0</v>
      </c>
      <c r="C21" s="76">
        <f>'5. Производство т.э.'!AA20</f>
        <v>0</v>
      </c>
      <c r="D21" s="75">
        <f>'5. Производство т.э.'!AB20</f>
        <v>5232</v>
      </c>
      <c r="E21" s="71">
        <f>'5. Производство т.э.'!AC20</f>
        <v>2469.7634386431437</v>
      </c>
      <c r="F21" s="75">
        <f>'5. Производство т.э.'!AD20</f>
        <v>2344.2641999999996</v>
      </c>
      <c r="G21" s="71">
        <f>'5. Производство т.э.'!AE20</f>
        <v>6873.347498053091</v>
      </c>
      <c r="H21" s="70" t="s">
        <v>29</v>
      </c>
      <c r="I21" s="76" t="s">
        <v>29</v>
      </c>
      <c r="J21" s="70">
        <f>'5. Производство т.э.'!AF20</f>
        <v>9343.110936696234</v>
      </c>
      <c r="K21" s="70">
        <f>F21/'4. ПП'!K11+(D21/1000)/'4. ПП'!K13</f>
        <v>11.839584623480986</v>
      </c>
      <c r="L21" s="250">
        <f>B21/'4. ПП'!K11</f>
        <v>0</v>
      </c>
      <c r="M21" s="251">
        <f>'5. Производство т.э.'!AG20</f>
        <v>52545.76101694915</v>
      </c>
      <c r="O21" s="63">
        <f>F21+D21*'4. ПП'!K14/1000+B21*0.40267</f>
        <v>3186.6161999999995</v>
      </c>
    </row>
    <row r="22" spans="1:13" ht="18.75" customHeight="1">
      <c r="A22" s="81" t="s">
        <v>71</v>
      </c>
      <c r="B22" s="84">
        <f>'6. Передача т.э.'!Z23</f>
        <v>260.077</v>
      </c>
      <c r="C22" s="85">
        <f>'6. Передача т.э.'!AA23</f>
        <v>1173.2957687194382</v>
      </c>
      <c r="D22" s="82">
        <f>'6. Передача т.э.'!AB23</f>
        <v>4845</v>
      </c>
      <c r="E22" s="83">
        <f>'6. Передача т.э.'!AC23</f>
        <v>2287.0802485141494</v>
      </c>
      <c r="F22" s="84" t="s">
        <v>29</v>
      </c>
      <c r="G22" s="85" t="s">
        <v>29</v>
      </c>
      <c r="H22" s="84">
        <f>'6. Передача т.э.'!AD23</f>
        <v>0</v>
      </c>
      <c r="I22" s="85">
        <f>'6. Передача т.э.'!AE23</f>
        <v>0</v>
      </c>
      <c r="J22" s="82">
        <f>'6. Передача т.э.'!AF23</f>
        <v>3460.3760172335874</v>
      </c>
      <c r="K22" s="82" t="s">
        <v>29</v>
      </c>
      <c r="L22" s="252">
        <f>B22/'4. ПП'!K29</f>
        <v>1.3517445335523204</v>
      </c>
      <c r="M22" s="253">
        <f>'6. Передача т.э.'!AG23</f>
        <v>0</v>
      </c>
    </row>
    <row r="23" spans="1:13" ht="19.5">
      <c r="A23" s="542" t="s">
        <v>69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4"/>
    </row>
    <row r="24" spans="1:15" ht="18.75" customHeight="1">
      <c r="A24" s="69" t="s">
        <v>70</v>
      </c>
      <c r="B24" s="75">
        <f>'5. Производство т.э.'!AJ20</f>
        <v>0</v>
      </c>
      <c r="C24" s="71">
        <f>'5. Производство т.э.'!AK20</f>
        <v>0</v>
      </c>
      <c r="D24" s="70">
        <f>'5. Производство т.э.'!AL20</f>
        <v>9888</v>
      </c>
      <c r="E24" s="76">
        <f>'5. Производство т.э.'!AM20</f>
        <v>4899.867112598373</v>
      </c>
      <c r="F24" s="70">
        <f>'5. Производство т.э.'!AN20</f>
        <v>6251.3712</v>
      </c>
      <c r="G24" s="76">
        <f>'5. Производство т.э.'!AO20</f>
        <v>19240.894384513143</v>
      </c>
      <c r="H24" s="70" t="s">
        <v>29</v>
      </c>
      <c r="I24" s="76" t="s">
        <v>29</v>
      </c>
      <c r="J24" s="70">
        <f>'5. Производство т.э.'!AP20</f>
        <v>24140.761497111518</v>
      </c>
      <c r="K24" s="70">
        <f>F24/'4. ПП'!L11+(D24/1000)/'4. ПП'!L13</f>
        <v>31.44648412712679</v>
      </c>
      <c r="L24" s="250">
        <f>B24/'4. ПП'!L11</f>
        <v>0</v>
      </c>
      <c r="M24" s="251">
        <f>'5. Производство т.э.'!AQ20</f>
        <v>0</v>
      </c>
      <c r="O24" s="63">
        <f>F24+D24*'4. ПП'!L14/1000+B24*0.40267</f>
        <v>7843.339199999999</v>
      </c>
    </row>
    <row r="25" spans="1:13" ht="18.75" customHeight="1">
      <c r="A25" s="81" t="s">
        <v>71</v>
      </c>
      <c r="B25" s="82">
        <f>'6. Передача т.э.'!AJ23</f>
        <v>260.077</v>
      </c>
      <c r="C25" s="83">
        <f>'6. Передача т.э.'!AK23</f>
        <v>1230.7872613866905</v>
      </c>
      <c r="D25" s="82">
        <f>'6. Передача т.э.'!AL23</f>
        <v>5138.5</v>
      </c>
      <c r="E25" s="83">
        <f>'6. Передача т.э.'!AM23</f>
        <v>2546.3154488356327</v>
      </c>
      <c r="F25" s="84" t="s">
        <v>29</v>
      </c>
      <c r="G25" s="85" t="s">
        <v>29</v>
      </c>
      <c r="H25" s="84">
        <f>'6. Передача т.э.'!AN23</f>
        <v>2444.5</v>
      </c>
      <c r="I25" s="85">
        <f>'6. Передача т.э.'!AO23</f>
        <v>28747.32</v>
      </c>
      <c r="J25" s="82">
        <f>'6. Передача т.э.'!AP23</f>
        <v>32524.422710222327</v>
      </c>
      <c r="K25" s="82" t="s">
        <v>29</v>
      </c>
      <c r="L25" s="252">
        <f>B25/'4. ПП'!L29</f>
        <v>1.3517445335523204</v>
      </c>
      <c r="M25" s="253">
        <f>'6. Передача т.э.'!AQ23</f>
        <v>10778</v>
      </c>
    </row>
    <row r="26" spans="1:13" ht="19.5">
      <c r="A26" s="542" t="s">
        <v>262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4"/>
    </row>
    <row r="27" spans="1:13" ht="18.75" customHeight="1">
      <c r="A27" s="74" t="s">
        <v>70</v>
      </c>
      <c r="B27" s="77">
        <f>B15+B18+B21+B24</f>
        <v>1380</v>
      </c>
      <c r="C27" s="78">
        <f aca="true" t="shared" si="0" ref="C27:J27">C15+C18+C21+C24</f>
        <v>1480.4088000000002</v>
      </c>
      <c r="D27" s="77">
        <f t="shared" si="0"/>
        <v>16333</v>
      </c>
      <c r="E27" s="78">
        <f t="shared" si="0"/>
        <v>8022.329829685389</v>
      </c>
      <c r="F27" s="77">
        <f t="shared" si="0"/>
        <v>8595.6354</v>
      </c>
      <c r="G27" s="78">
        <f t="shared" si="0"/>
        <v>26114.241882566235</v>
      </c>
      <c r="H27" s="77" t="s">
        <v>29</v>
      </c>
      <c r="I27" s="78" t="s">
        <v>29</v>
      </c>
      <c r="J27" s="79">
        <f t="shared" si="0"/>
        <v>35616.980512251626</v>
      </c>
      <c r="K27" s="79">
        <f>K24</f>
        <v>31.44648412712679</v>
      </c>
      <c r="L27" s="254">
        <f>L24</f>
        <v>0</v>
      </c>
      <c r="M27" s="80">
        <f>M15+M18+M21+M24</f>
        <v>593139.5593220341</v>
      </c>
    </row>
    <row r="28" spans="1:13" ht="19.5" customHeight="1" thickBot="1">
      <c r="A28" s="86" t="s">
        <v>71</v>
      </c>
      <c r="B28" s="87">
        <f>B16+B19+B22+B25</f>
        <v>739.731</v>
      </c>
      <c r="C28" s="88">
        <f aca="true" t="shared" si="1" ref="C28:J28">C16+C19+C22+C25</f>
        <v>3332.467753080872</v>
      </c>
      <c r="D28" s="87">
        <f t="shared" si="1"/>
        <v>14284.875</v>
      </c>
      <c r="E28" s="88">
        <f t="shared" si="1"/>
        <v>7144.808014735299</v>
      </c>
      <c r="F28" s="87" t="s">
        <v>29</v>
      </c>
      <c r="G28" s="88" t="s">
        <v>29</v>
      </c>
      <c r="H28" s="87">
        <f t="shared" si="1"/>
        <v>2444.5</v>
      </c>
      <c r="I28" s="88">
        <f t="shared" si="1"/>
        <v>28747.32</v>
      </c>
      <c r="J28" s="89">
        <f t="shared" si="1"/>
        <v>39224.59576781617</v>
      </c>
      <c r="K28" s="195" t="str">
        <f>K25</f>
        <v>-</v>
      </c>
      <c r="L28" s="89">
        <f>L25</f>
        <v>1.3517445335523204</v>
      </c>
      <c r="M28" s="90">
        <f>M16+M19+M22+M25</f>
        <v>27900</v>
      </c>
    </row>
  </sheetData>
  <sheetProtection/>
  <mergeCells count="19">
    <mergeCell ref="L1:M1"/>
    <mergeCell ref="A14:M14"/>
    <mergeCell ref="A17:M17"/>
    <mergeCell ref="J11:J13"/>
    <mergeCell ref="H11:I11"/>
    <mergeCell ref="A10:A13"/>
    <mergeCell ref="B10:J10"/>
    <mergeCell ref="L10:L13"/>
    <mergeCell ref="M10:M13"/>
    <mergeCell ref="B11:C11"/>
    <mergeCell ref="J2:M2"/>
    <mergeCell ref="A20:M20"/>
    <mergeCell ref="A23:M23"/>
    <mergeCell ref="A26:M26"/>
    <mergeCell ref="A6:M6"/>
    <mergeCell ref="A7:M7"/>
    <mergeCell ref="D11:E11"/>
    <mergeCell ref="F11:G11"/>
    <mergeCell ref="K10:K13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="60" zoomScaleNormal="60" zoomScalePageLayoutView="0" workbookViewId="0" topLeftCell="A4">
      <selection activeCell="C48" sqref="C48"/>
    </sheetView>
  </sheetViews>
  <sheetFormatPr defaultColWidth="9.140625" defaultRowHeight="15"/>
  <cols>
    <col min="1" max="1" width="7.28125" style="136" customWidth="1"/>
    <col min="2" max="2" width="63.7109375" style="136" customWidth="1"/>
    <col min="3" max="3" width="15.7109375" style="136" customWidth="1"/>
    <col min="4" max="8" width="15.7109375" style="136" hidden="1" customWidth="1"/>
    <col min="9" max="12" width="22.7109375" style="136" customWidth="1"/>
    <col min="13" max="13" width="22.28125" style="136" customWidth="1"/>
    <col min="14" max="16384" width="9.140625" style="136" customWidth="1"/>
  </cols>
  <sheetData>
    <row r="1" spans="8:12" ht="18.75">
      <c r="H1" s="64"/>
      <c r="I1" s="64"/>
      <c r="J1" s="64"/>
      <c r="K1" s="553" t="s">
        <v>234</v>
      </c>
      <c r="L1" s="553"/>
    </row>
    <row r="2" spans="3:12" ht="18.75">
      <c r="C2" s="3" t="s">
        <v>1</v>
      </c>
      <c r="D2" s="256"/>
      <c r="E2" s="256"/>
      <c r="G2" s="541" t="str">
        <f>'1. Паспорт'!F2</f>
        <v>филиала "Верхнетагильская ГРЭС" ОАО "ИНТЕР РАО - Электрогенерация"</v>
      </c>
      <c r="H2" s="541"/>
      <c r="I2" s="541"/>
      <c r="J2" s="541"/>
      <c r="K2" s="541"/>
      <c r="L2" s="541"/>
    </row>
    <row r="3" spans="9:12" ht="18.75">
      <c r="I3" s="64"/>
      <c r="J3" s="95" t="s">
        <v>2</v>
      </c>
      <c r="K3" s="14" t="str">
        <f>'1. Паспорт'!P2</f>
        <v>2014-2017</v>
      </c>
      <c r="L3" s="4" t="s">
        <v>4</v>
      </c>
    </row>
    <row r="6" spans="1:19" s="227" customFormat="1" ht="18.75">
      <c r="A6" s="565" t="s">
        <v>235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230"/>
      <c r="N6" s="230"/>
      <c r="O6" s="230"/>
      <c r="P6" s="230"/>
      <c r="Q6" s="230"/>
      <c r="R6" s="230"/>
      <c r="S6" s="230"/>
    </row>
    <row r="7" spans="1:19" s="232" customFormat="1" ht="18.75">
      <c r="A7" s="566" t="s">
        <v>144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231"/>
      <c r="N7" s="231"/>
      <c r="O7" s="231"/>
      <c r="P7" s="231"/>
      <c r="Q7" s="231"/>
      <c r="R7" s="231"/>
      <c r="S7" s="231"/>
    </row>
    <row r="8" spans="1:19" s="232" customFormat="1" ht="18.75">
      <c r="A8" s="233"/>
      <c r="B8" s="233"/>
      <c r="C8" s="234" t="s">
        <v>2</v>
      </c>
      <c r="D8" s="234"/>
      <c r="E8" s="234"/>
      <c r="F8" s="234"/>
      <c r="G8" s="234"/>
      <c r="I8" s="233" t="str">
        <f>K3</f>
        <v>2014-2017</v>
      </c>
      <c r="J8" s="235" t="s">
        <v>4</v>
      </c>
      <c r="L8" s="231"/>
      <c r="M8" s="231"/>
      <c r="O8" s="236"/>
      <c r="P8" s="236"/>
      <c r="Q8" s="236"/>
      <c r="R8" s="236"/>
      <c r="S8" s="236"/>
    </row>
    <row r="10" spans="1:12" ht="37.5">
      <c r="A10" s="158" t="s">
        <v>94</v>
      </c>
      <c r="B10" s="153" t="s">
        <v>110</v>
      </c>
      <c r="C10" s="158" t="s">
        <v>121</v>
      </c>
      <c r="D10" s="160">
        <v>2009</v>
      </c>
      <c r="E10" s="160">
        <v>2010</v>
      </c>
      <c r="F10" s="160">
        <v>2011</v>
      </c>
      <c r="G10" s="160">
        <v>2012</v>
      </c>
      <c r="H10" s="160">
        <v>2013</v>
      </c>
      <c r="I10" s="153">
        <v>2014</v>
      </c>
      <c r="J10" s="153">
        <v>2015</v>
      </c>
      <c r="K10" s="153">
        <v>2016</v>
      </c>
      <c r="L10" s="153">
        <v>2017</v>
      </c>
    </row>
    <row r="11" spans="1:12" ht="37.5" customHeight="1">
      <c r="A11" s="154">
        <v>1</v>
      </c>
      <c r="B11" s="157" t="s">
        <v>102</v>
      </c>
      <c r="C11" s="152" t="s">
        <v>103</v>
      </c>
      <c r="D11" s="239">
        <v>206.736</v>
      </c>
      <c r="E11" s="239">
        <v>212.746</v>
      </c>
      <c r="F11" s="239">
        <v>198.67252700000003</v>
      </c>
      <c r="G11" s="239">
        <v>196.246</v>
      </c>
      <c r="H11" s="239">
        <v>207.33</v>
      </c>
      <c r="I11" s="167">
        <v>204.579</v>
      </c>
      <c r="J11" s="166">
        <v>200.747</v>
      </c>
      <c r="K11" s="166">
        <v>200.747</v>
      </c>
      <c r="L11" s="166">
        <v>200.747</v>
      </c>
    </row>
    <row r="12" spans="1:12" ht="37.5" customHeight="1">
      <c r="A12" s="154">
        <v>2</v>
      </c>
      <c r="B12" s="157" t="s">
        <v>104</v>
      </c>
      <c r="C12" s="159" t="s">
        <v>103</v>
      </c>
      <c r="D12" s="240">
        <v>9.086</v>
      </c>
      <c r="E12" s="240">
        <v>9.20043</v>
      </c>
      <c r="F12" s="240">
        <v>9.141070000000001</v>
      </c>
      <c r="G12" s="240">
        <v>7.887428</v>
      </c>
      <c r="H12" s="240">
        <v>8.02</v>
      </c>
      <c r="I12" s="241">
        <v>8.4</v>
      </c>
      <c r="J12" s="166">
        <v>8.345999999999998</v>
      </c>
      <c r="K12" s="166">
        <v>8.345999999999998</v>
      </c>
      <c r="L12" s="166">
        <v>8.345999999999998</v>
      </c>
    </row>
    <row r="13" spans="1:12" ht="37.5" customHeight="1">
      <c r="A13" s="154">
        <v>3</v>
      </c>
      <c r="B13" s="157" t="s">
        <v>106</v>
      </c>
      <c r="C13" s="155" t="s">
        <v>100</v>
      </c>
      <c r="D13" s="166">
        <f aca="true" t="shared" si="0" ref="D13:K13">D11*D14/1000</f>
        <v>39.476898481695834</v>
      </c>
      <c r="E13" s="166">
        <f t="shared" si="0"/>
        <v>41.23584889170102</v>
      </c>
      <c r="F13" s="166">
        <f t="shared" si="0"/>
        <v>38.470021392006885</v>
      </c>
      <c r="G13" s="166">
        <f t="shared" si="0"/>
        <v>37.76197960163537</v>
      </c>
      <c r="H13" s="166">
        <f t="shared" si="0"/>
        <v>39.974000000000025</v>
      </c>
      <c r="I13" s="166">
        <f t="shared" si="0"/>
        <v>39.24643536000001</v>
      </c>
      <c r="J13" s="166">
        <f t="shared" si="0"/>
        <v>38.60164063</v>
      </c>
      <c r="K13" s="166">
        <f t="shared" si="0"/>
        <v>32.320267</v>
      </c>
      <c r="L13" s="166">
        <f>L11*L14/1000</f>
        <v>32.320267</v>
      </c>
    </row>
    <row r="14" spans="1:12" ht="37.5" customHeight="1">
      <c r="A14" s="154">
        <v>4</v>
      </c>
      <c r="B14" s="157" t="s">
        <v>107</v>
      </c>
      <c r="C14" s="155" t="s">
        <v>86</v>
      </c>
      <c r="D14" s="166">
        <v>190.95318900286276</v>
      </c>
      <c r="E14" s="166">
        <v>193.82667073270952</v>
      </c>
      <c r="F14" s="166">
        <v>193.63533535770088</v>
      </c>
      <c r="G14" s="166">
        <v>192.42165242417863</v>
      </c>
      <c r="H14" s="166">
        <v>192.80374282544744</v>
      </c>
      <c r="I14" s="166">
        <v>191.84</v>
      </c>
      <c r="J14" s="166">
        <v>192.29</v>
      </c>
      <c r="K14" s="166">
        <v>161</v>
      </c>
      <c r="L14" s="166">
        <v>161</v>
      </c>
    </row>
    <row r="15" spans="1:12" ht="37.5" customHeight="1">
      <c r="A15" s="154">
        <v>5</v>
      </c>
      <c r="B15" s="157" t="s">
        <v>108</v>
      </c>
      <c r="C15" s="155" t="s">
        <v>65</v>
      </c>
      <c r="D15" s="166">
        <v>16404.127</v>
      </c>
      <c r="E15" s="166">
        <v>16076.413</v>
      </c>
      <c r="F15" s="166">
        <v>15374.772</v>
      </c>
      <c r="G15" s="166">
        <v>14785.929</v>
      </c>
      <c r="H15" s="166">
        <v>15057.158</v>
      </c>
      <c r="I15" s="166">
        <v>15306.4760000001</v>
      </c>
      <c r="J15" s="166">
        <f>J11*J16</f>
        <v>15058.032470000002</v>
      </c>
      <c r="K15" s="166">
        <v>15817.9999999996</v>
      </c>
      <c r="L15" s="166">
        <v>15817.9999999996</v>
      </c>
    </row>
    <row r="16" spans="1:12" ht="37.5" customHeight="1">
      <c r="A16" s="154">
        <v>6</v>
      </c>
      <c r="B16" s="157" t="s">
        <v>109</v>
      </c>
      <c r="C16" s="155" t="s">
        <v>101</v>
      </c>
      <c r="D16" s="241">
        <f aca="true" t="shared" si="1" ref="D16:I16">D15/D11</f>
        <v>79.34818802724249</v>
      </c>
      <c r="E16" s="241">
        <f t="shared" si="1"/>
        <v>75.56622921230012</v>
      </c>
      <c r="F16" s="241">
        <f t="shared" si="1"/>
        <v>77.38750914463377</v>
      </c>
      <c r="G16" s="241">
        <f t="shared" si="1"/>
        <v>75.34384904660477</v>
      </c>
      <c r="H16" s="241">
        <f t="shared" si="1"/>
        <v>72.62411614334636</v>
      </c>
      <c r="I16" s="241">
        <f t="shared" si="1"/>
        <v>74.81939006447436</v>
      </c>
      <c r="J16" s="241">
        <v>75.01</v>
      </c>
      <c r="K16" s="241">
        <f>K15/K11</f>
        <v>78.79569806771508</v>
      </c>
      <c r="L16" s="241">
        <f>L15/L11</f>
        <v>78.79569806771508</v>
      </c>
    </row>
    <row r="17" spans="1:12" ht="37.5" customHeight="1">
      <c r="A17" s="567">
        <v>7</v>
      </c>
      <c r="B17" s="193" t="s">
        <v>87</v>
      </c>
      <c r="C17" s="155" t="s">
        <v>88</v>
      </c>
      <c r="D17" s="220">
        <f>D18+D19</f>
        <v>0.54</v>
      </c>
      <c r="E17" s="220">
        <f aca="true" t="shared" si="2" ref="E17:L17">E18+E19</f>
        <v>11.26</v>
      </c>
      <c r="F17" s="220">
        <f t="shared" si="2"/>
        <v>5.946999999999999</v>
      </c>
      <c r="G17" s="220">
        <f t="shared" si="2"/>
        <v>0.47</v>
      </c>
      <c r="H17" s="220">
        <f t="shared" si="2"/>
        <v>1.833</v>
      </c>
      <c r="I17" s="220">
        <f t="shared" si="2"/>
        <v>1.73</v>
      </c>
      <c r="J17" s="220">
        <f t="shared" si="2"/>
        <v>8.11</v>
      </c>
      <c r="K17" s="220">
        <f t="shared" si="2"/>
        <v>8.11</v>
      </c>
      <c r="L17" s="220">
        <f t="shared" si="2"/>
        <v>8.11</v>
      </c>
    </row>
    <row r="18" spans="1:12" ht="18.75" customHeight="1">
      <c r="A18" s="573"/>
      <c r="B18" s="193" t="s">
        <v>227</v>
      </c>
      <c r="C18" s="155" t="s">
        <v>88</v>
      </c>
      <c r="D18" s="163">
        <v>0.54</v>
      </c>
      <c r="E18" s="161">
        <v>0.4</v>
      </c>
      <c r="F18" s="161">
        <v>0.52</v>
      </c>
      <c r="G18" s="161">
        <v>0.47</v>
      </c>
      <c r="H18" s="163">
        <v>1.15</v>
      </c>
      <c r="I18" s="154">
        <v>1.73</v>
      </c>
      <c r="J18" s="154">
        <v>1.73</v>
      </c>
      <c r="K18" s="154">
        <v>1.73</v>
      </c>
      <c r="L18" s="154">
        <v>1.73</v>
      </c>
    </row>
    <row r="19" spans="1:13" ht="18.75" customHeight="1">
      <c r="A19" s="573"/>
      <c r="B19" s="193" t="s">
        <v>96</v>
      </c>
      <c r="C19" s="155" t="s">
        <v>88</v>
      </c>
      <c r="D19" s="155">
        <f>D20+D21</f>
        <v>0</v>
      </c>
      <c r="E19" s="155">
        <f aca="true" t="shared" si="3" ref="E19:L19">E20+E21</f>
        <v>10.86</v>
      </c>
      <c r="F19" s="155">
        <f t="shared" si="3"/>
        <v>5.427</v>
      </c>
      <c r="G19" s="155">
        <f t="shared" si="3"/>
        <v>0</v>
      </c>
      <c r="H19" s="155">
        <f t="shared" si="3"/>
        <v>0.683</v>
      </c>
      <c r="I19" s="155">
        <f t="shared" si="3"/>
        <v>0</v>
      </c>
      <c r="J19" s="155">
        <f t="shared" si="3"/>
        <v>6.38</v>
      </c>
      <c r="K19" s="155">
        <f t="shared" si="3"/>
        <v>6.38</v>
      </c>
      <c r="L19" s="155">
        <f t="shared" si="3"/>
        <v>6.38</v>
      </c>
      <c r="M19" s="172"/>
    </row>
    <row r="20" spans="1:12" ht="18.75">
      <c r="A20" s="573"/>
      <c r="B20" s="193" t="s">
        <v>97</v>
      </c>
      <c r="C20" s="155" t="s">
        <v>88</v>
      </c>
      <c r="D20" s="154">
        <v>0</v>
      </c>
      <c r="E20" s="155">
        <v>7</v>
      </c>
      <c r="F20" s="154">
        <v>4.14</v>
      </c>
      <c r="G20" s="154">
        <v>0</v>
      </c>
      <c r="H20" s="155">
        <v>0</v>
      </c>
      <c r="I20" s="154">
        <v>0</v>
      </c>
      <c r="J20" s="154">
        <v>6.38</v>
      </c>
      <c r="K20" s="154">
        <v>6.38</v>
      </c>
      <c r="L20" s="154">
        <v>6.38</v>
      </c>
    </row>
    <row r="21" spans="1:12" ht="18.75">
      <c r="A21" s="568"/>
      <c r="B21" s="193" t="s">
        <v>98</v>
      </c>
      <c r="C21" s="155" t="s">
        <v>88</v>
      </c>
      <c r="D21" s="155">
        <v>0</v>
      </c>
      <c r="E21" s="155">
        <v>3.86</v>
      </c>
      <c r="F21" s="155">
        <v>1.287</v>
      </c>
      <c r="G21" s="155">
        <v>0</v>
      </c>
      <c r="H21" s="156">
        <v>0.683</v>
      </c>
      <c r="I21" s="155">
        <v>0</v>
      </c>
      <c r="J21" s="155">
        <v>0</v>
      </c>
      <c r="K21" s="155">
        <v>0</v>
      </c>
      <c r="L21" s="155">
        <v>0</v>
      </c>
    </row>
    <row r="22" spans="1:12" ht="18.75">
      <c r="A22" s="161">
        <v>8</v>
      </c>
      <c r="B22" s="221" t="s">
        <v>228</v>
      </c>
      <c r="C22" s="222" t="s">
        <v>229</v>
      </c>
      <c r="D22" s="242">
        <v>0.64</v>
      </c>
      <c r="E22" s="242">
        <v>0.87</v>
      </c>
      <c r="F22" s="242">
        <v>0.89</v>
      </c>
      <c r="G22" s="242">
        <v>0.94</v>
      </c>
      <c r="H22" s="241">
        <v>1.015677</v>
      </c>
      <c r="I22" s="241">
        <v>1.04</v>
      </c>
      <c r="J22" s="241">
        <v>1.10552</v>
      </c>
      <c r="K22" s="241">
        <v>1.17958984</v>
      </c>
      <c r="L22" s="241">
        <v>1.23738974216</v>
      </c>
    </row>
    <row r="23" spans="1:12" ht="18.75">
      <c r="A23" s="154">
        <v>9</v>
      </c>
      <c r="B23" s="221" t="s">
        <v>230</v>
      </c>
      <c r="C23" s="222" t="s">
        <v>231</v>
      </c>
      <c r="D23" s="242">
        <v>1642.11888</v>
      </c>
      <c r="E23" s="242">
        <v>1905.33609</v>
      </c>
      <c r="F23" s="242">
        <v>2210.08069</v>
      </c>
      <c r="G23" s="242">
        <v>2372.27074</v>
      </c>
      <c r="H23" s="243">
        <v>2567.0683083411345</v>
      </c>
      <c r="I23" s="242">
        <v>2751.594667725786</v>
      </c>
      <c r="J23" s="242">
        <v>2798.308761725235</v>
      </c>
      <c r="K23" s="242">
        <v>2931.985011780281</v>
      </c>
      <c r="L23" s="242">
        <v>3077.867841940524</v>
      </c>
    </row>
    <row r="24" spans="1:12" s="227" customFormat="1" ht="18.75" customHeight="1">
      <c r="A24" s="225"/>
      <c r="B24" s="223"/>
      <c r="C24" s="224"/>
      <c r="D24" s="224"/>
      <c r="E24" s="224"/>
      <c r="F24" s="136"/>
      <c r="G24" s="136"/>
      <c r="H24" s="64"/>
      <c r="I24" s="64"/>
      <c r="J24" s="572" t="s">
        <v>237</v>
      </c>
      <c r="K24" s="572"/>
      <c r="L24" s="572"/>
    </row>
    <row r="25" spans="1:12" s="227" customFormat="1" ht="18.75">
      <c r="A25" s="225"/>
      <c r="B25" s="223"/>
      <c r="C25" s="224"/>
      <c r="D25" s="224"/>
      <c r="E25" s="224"/>
      <c r="F25" s="3" t="s">
        <v>1</v>
      </c>
      <c r="G25" s="571" t="str">
        <f>G2</f>
        <v>филиала "Верхнетагильская ГРЭС" ОАО "ИНТЕР РАО - Электрогенерация"</v>
      </c>
      <c r="H25" s="571"/>
      <c r="I25" s="571"/>
      <c r="J25" s="571"/>
      <c r="K25" s="571"/>
      <c r="L25" s="571"/>
    </row>
    <row r="26" spans="1:12" s="227" customFormat="1" ht="18.75">
      <c r="A26" s="225"/>
      <c r="B26" s="223"/>
      <c r="C26" s="224"/>
      <c r="D26" s="224"/>
      <c r="E26" s="224"/>
      <c r="F26" s="136"/>
      <c r="G26" s="136"/>
      <c r="H26" s="136"/>
      <c r="I26" s="64"/>
      <c r="J26" s="255" t="s">
        <v>2</v>
      </c>
      <c r="K26" s="14" t="str">
        <f>K3</f>
        <v>2014-2017</v>
      </c>
      <c r="L26" s="4" t="s">
        <v>4</v>
      </c>
    </row>
    <row r="27" spans="1:12" s="227" customFormat="1" ht="18.75">
      <c r="A27" s="225"/>
      <c r="B27" s="223"/>
      <c r="C27" s="224"/>
      <c r="D27" s="224"/>
      <c r="E27" s="224"/>
      <c r="F27" s="224"/>
      <c r="G27" s="224"/>
      <c r="H27" s="226"/>
      <c r="I27" s="224"/>
      <c r="J27" s="224"/>
      <c r="K27" s="224"/>
      <c r="L27" s="224"/>
    </row>
    <row r="28" spans="1:12" ht="37.5">
      <c r="A28" s="158" t="s">
        <v>94</v>
      </c>
      <c r="B28" s="158" t="s">
        <v>111</v>
      </c>
      <c r="C28" s="158" t="s">
        <v>121</v>
      </c>
      <c r="D28" s="153">
        <v>2009</v>
      </c>
      <c r="E28" s="153">
        <v>2010</v>
      </c>
      <c r="F28" s="153">
        <v>2011</v>
      </c>
      <c r="G28" s="153">
        <v>2012</v>
      </c>
      <c r="H28" s="153">
        <v>2013</v>
      </c>
      <c r="I28" s="153">
        <v>2014</v>
      </c>
      <c r="J28" s="153">
        <v>2015</v>
      </c>
      <c r="K28" s="153">
        <v>2016</v>
      </c>
      <c r="L28" s="153">
        <v>2017</v>
      </c>
    </row>
    <row r="29" spans="1:12" ht="18.75">
      <c r="A29" s="154">
        <v>1</v>
      </c>
      <c r="B29" s="157" t="s">
        <v>105</v>
      </c>
      <c r="C29" s="159" t="s">
        <v>103</v>
      </c>
      <c r="D29" s="166">
        <f aca="true" t="shared" si="4" ref="D29:L29">D11-D12</f>
        <v>197.64999999999998</v>
      </c>
      <c r="E29" s="166">
        <f t="shared" si="4"/>
        <v>203.54557</v>
      </c>
      <c r="F29" s="166">
        <f t="shared" si="4"/>
        <v>189.53145700000002</v>
      </c>
      <c r="G29" s="166">
        <f t="shared" si="4"/>
        <v>188.358572</v>
      </c>
      <c r="H29" s="166">
        <f t="shared" si="4"/>
        <v>199.31</v>
      </c>
      <c r="I29" s="166">
        <f t="shared" si="4"/>
        <v>196.179</v>
      </c>
      <c r="J29" s="166">
        <f t="shared" si="4"/>
        <v>192.401</v>
      </c>
      <c r="K29" s="166">
        <f t="shared" si="4"/>
        <v>192.401</v>
      </c>
      <c r="L29" s="166">
        <f t="shared" si="4"/>
        <v>192.401</v>
      </c>
    </row>
    <row r="30" spans="1:12" ht="18.75">
      <c r="A30" s="567">
        <v>2</v>
      </c>
      <c r="B30" s="569" t="s">
        <v>112</v>
      </c>
      <c r="C30" s="152" t="s">
        <v>99</v>
      </c>
      <c r="D30" s="164">
        <v>63.67</v>
      </c>
      <c r="E30" s="164">
        <v>61.83</v>
      </c>
      <c r="F30" s="164">
        <v>66.168</v>
      </c>
      <c r="G30" s="164">
        <v>62.448</v>
      </c>
      <c r="H30" s="164">
        <v>70.69</v>
      </c>
      <c r="I30" s="167">
        <v>60.33</v>
      </c>
      <c r="J30" s="166">
        <v>59.02</v>
      </c>
      <c r="K30" s="166">
        <v>59.02</v>
      </c>
      <c r="L30" s="166">
        <v>59.02</v>
      </c>
    </row>
    <row r="31" spans="1:12" ht="18.75">
      <c r="A31" s="568"/>
      <c r="B31" s="570"/>
      <c r="C31" s="152" t="s">
        <v>78</v>
      </c>
      <c r="D31" s="165">
        <f>D30/D29*100</f>
        <v>32.2135087275487</v>
      </c>
      <c r="E31" s="165">
        <f aca="true" t="shared" si="5" ref="E31:L31">E30/E29*100</f>
        <v>30.37649013928429</v>
      </c>
      <c r="F31" s="165">
        <f t="shared" si="5"/>
        <v>34.911355110829966</v>
      </c>
      <c r="G31" s="165">
        <f t="shared" si="5"/>
        <v>33.15378712894468</v>
      </c>
      <c r="H31" s="165">
        <f t="shared" si="5"/>
        <v>35.46736240028097</v>
      </c>
      <c r="I31" s="165">
        <f t="shared" si="5"/>
        <v>30.752527028886885</v>
      </c>
      <c r="J31" s="165">
        <f t="shared" si="5"/>
        <v>30.675516239520583</v>
      </c>
      <c r="K31" s="165">
        <f t="shared" si="5"/>
        <v>30.675516239520583</v>
      </c>
      <c r="L31" s="165">
        <f t="shared" si="5"/>
        <v>30.675516239520583</v>
      </c>
    </row>
    <row r="32" spans="1:12" ht="18.75">
      <c r="A32" s="154">
        <v>3</v>
      </c>
      <c r="B32" s="157" t="s">
        <v>113</v>
      </c>
      <c r="C32" s="159" t="s">
        <v>99</v>
      </c>
      <c r="D32" s="166">
        <f aca="true" t="shared" si="6" ref="D32:L32">D29-D30</f>
        <v>133.97999999999996</v>
      </c>
      <c r="E32" s="166">
        <f t="shared" si="6"/>
        <v>141.71557</v>
      </c>
      <c r="F32" s="166">
        <f t="shared" si="6"/>
        <v>123.36345700000001</v>
      </c>
      <c r="G32" s="166">
        <f t="shared" si="6"/>
        <v>125.910572</v>
      </c>
      <c r="H32" s="166">
        <f t="shared" si="6"/>
        <v>128.62</v>
      </c>
      <c r="I32" s="166">
        <f t="shared" si="6"/>
        <v>135.849</v>
      </c>
      <c r="J32" s="166">
        <f t="shared" si="6"/>
        <v>133.381</v>
      </c>
      <c r="K32" s="166">
        <f t="shared" si="6"/>
        <v>133.381</v>
      </c>
      <c r="L32" s="166">
        <f t="shared" si="6"/>
        <v>133.381</v>
      </c>
    </row>
    <row r="33" spans="1:12" ht="18.75">
      <c r="A33" s="567">
        <v>4</v>
      </c>
      <c r="B33" s="569" t="s">
        <v>95</v>
      </c>
      <c r="C33" s="152" t="s">
        <v>99</v>
      </c>
      <c r="D33" s="170">
        <v>0</v>
      </c>
      <c r="E33" s="170">
        <v>0</v>
      </c>
      <c r="F33" s="164">
        <v>17.288999999999998</v>
      </c>
      <c r="G33" s="164">
        <v>55.5868895</v>
      </c>
      <c r="H33" s="164">
        <v>57.37</v>
      </c>
      <c r="I33" s="166">
        <v>24.450376999999996</v>
      </c>
      <c r="J33" s="166">
        <v>24.450376999999996</v>
      </c>
      <c r="K33" s="166">
        <v>24.450376999999996</v>
      </c>
      <c r="L33" s="166">
        <v>24.450376999999996</v>
      </c>
    </row>
    <row r="34" spans="1:12" ht="18.75">
      <c r="A34" s="568"/>
      <c r="B34" s="570"/>
      <c r="C34" s="152" t="s">
        <v>78</v>
      </c>
      <c r="D34" s="164">
        <f aca="true" t="shared" si="7" ref="D34:L34">D33/D32*100</f>
        <v>0</v>
      </c>
      <c r="E34" s="164">
        <f t="shared" si="7"/>
        <v>0</v>
      </c>
      <c r="F34" s="164">
        <f t="shared" si="7"/>
        <v>14.014685078094072</v>
      </c>
      <c r="G34" s="164">
        <f t="shared" si="7"/>
        <v>44.14791277415529</v>
      </c>
      <c r="H34" s="164">
        <f t="shared" si="7"/>
        <v>44.604260612657434</v>
      </c>
      <c r="I34" s="164">
        <f t="shared" si="7"/>
        <v>17.998201679806254</v>
      </c>
      <c r="J34" s="164">
        <f t="shared" si="7"/>
        <v>18.33122933551255</v>
      </c>
      <c r="K34" s="164">
        <f t="shared" si="7"/>
        <v>18.33122933551255</v>
      </c>
      <c r="L34" s="164">
        <f t="shared" si="7"/>
        <v>18.33122933551255</v>
      </c>
    </row>
    <row r="35" spans="1:12" ht="18.75">
      <c r="A35" s="154">
        <v>5</v>
      </c>
      <c r="B35" s="162" t="s">
        <v>114</v>
      </c>
      <c r="C35" s="152" t="s">
        <v>119</v>
      </c>
      <c r="D35" s="168">
        <v>14378.935</v>
      </c>
      <c r="E35" s="168">
        <v>14369.73</v>
      </c>
      <c r="F35" s="168">
        <v>14497.271</v>
      </c>
      <c r="G35" s="168">
        <v>13340.566</v>
      </c>
      <c r="H35" s="168">
        <v>12562.209</v>
      </c>
      <c r="I35" s="173">
        <f>H35</f>
        <v>12562.209</v>
      </c>
      <c r="J35" s="168">
        <f>I35</f>
        <v>12562.209</v>
      </c>
      <c r="K35" s="168">
        <f>J35</f>
        <v>12562.209</v>
      </c>
      <c r="L35" s="168">
        <f>K35</f>
        <v>12562.209</v>
      </c>
    </row>
    <row r="36" spans="1:12" ht="18.75">
      <c r="A36" s="154">
        <v>6</v>
      </c>
      <c r="B36" s="162" t="s">
        <v>118</v>
      </c>
      <c r="C36" s="152" t="s">
        <v>119</v>
      </c>
      <c r="D36" s="244">
        <f>D35-1817.79</f>
        <v>12561.145</v>
      </c>
      <c r="E36" s="244">
        <f>E35-1604.73</f>
        <v>12765</v>
      </c>
      <c r="F36" s="244">
        <f>F35-1471.6</f>
        <v>13025.671</v>
      </c>
      <c r="G36" s="244">
        <f>G35-1234.07</f>
        <v>12106.496000000001</v>
      </c>
      <c r="H36" s="244">
        <f>H35-1413.82</f>
        <v>11148.389000000001</v>
      </c>
      <c r="I36" s="244">
        <f>I35-1397.48</f>
        <v>11164.729000000001</v>
      </c>
      <c r="J36" s="244">
        <f>J35-1397.48</f>
        <v>11164.729000000001</v>
      </c>
      <c r="K36" s="244">
        <f>K35-1397.48</f>
        <v>11164.729000000001</v>
      </c>
      <c r="L36" s="244">
        <f>L35-1397.48</f>
        <v>11164.729000000001</v>
      </c>
    </row>
    <row r="37" spans="1:12" ht="18.75">
      <c r="A37" s="154">
        <v>7</v>
      </c>
      <c r="B37" s="162" t="s">
        <v>115</v>
      </c>
      <c r="C37" s="152" t="s">
        <v>119</v>
      </c>
      <c r="D37" s="166">
        <f>D35-D36</f>
        <v>1817.789999999999</v>
      </c>
      <c r="E37" s="166">
        <f aca="true" t="shared" si="8" ref="E37:L37">E35-E36</f>
        <v>1604.7299999999996</v>
      </c>
      <c r="F37" s="166">
        <f t="shared" si="8"/>
        <v>1471.6000000000004</v>
      </c>
      <c r="G37" s="166">
        <f t="shared" si="8"/>
        <v>1234.0699999999997</v>
      </c>
      <c r="H37" s="166">
        <f t="shared" si="8"/>
        <v>1413.8199999999997</v>
      </c>
      <c r="I37" s="166">
        <f t="shared" si="8"/>
        <v>1397.4799999999996</v>
      </c>
      <c r="J37" s="166">
        <f t="shared" si="8"/>
        <v>1397.4799999999996</v>
      </c>
      <c r="K37" s="166">
        <f t="shared" si="8"/>
        <v>1397.4799999999996</v>
      </c>
      <c r="L37" s="166">
        <f t="shared" si="8"/>
        <v>1397.4799999999996</v>
      </c>
    </row>
    <row r="38" spans="1:12" ht="18.75">
      <c r="A38" s="567">
        <v>8</v>
      </c>
      <c r="B38" s="569" t="s">
        <v>117</v>
      </c>
      <c r="C38" s="152" t="s">
        <v>119</v>
      </c>
      <c r="D38" s="164">
        <v>519.747</v>
      </c>
      <c r="E38" s="164">
        <v>417.337</v>
      </c>
      <c r="F38" s="164">
        <v>383.571</v>
      </c>
      <c r="G38" s="164">
        <v>251.92</v>
      </c>
      <c r="H38" s="164">
        <v>315.571</v>
      </c>
      <c r="I38" s="173">
        <v>110.7435</v>
      </c>
      <c r="J38" s="173">
        <v>110.7435</v>
      </c>
      <c r="K38" s="173">
        <v>110.7435</v>
      </c>
      <c r="L38" s="173">
        <v>110.7435</v>
      </c>
    </row>
    <row r="39" spans="1:12" ht="18.75">
      <c r="A39" s="568"/>
      <c r="B39" s="570"/>
      <c r="C39" s="152" t="s">
        <v>78</v>
      </c>
      <c r="D39" s="171">
        <f>D38/D37*100</f>
        <v>28.592246629148594</v>
      </c>
      <c r="E39" s="171">
        <f aca="true" t="shared" si="9" ref="E39:L39">E38/E37*100</f>
        <v>26.00668025150649</v>
      </c>
      <c r="F39" s="171">
        <f t="shared" si="9"/>
        <v>26.06489535199782</v>
      </c>
      <c r="G39" s="171">
        <f t="shared" si="9"/>
        <v>20.413752866531077</v>
      </c>
      <c r="H39" s="171">
        <f t="shared" si="9"/>
        <v>22.3204509767863</v>
      </c>
      <c r="I39" s="171">
        <f t="shared" si="9"/>
        <v>7.924514125425769</v>
      </c>
      <c r="J39" s="171">
        <f t="shared" si="9"/>
        <v>7.924514125425769</v>
      </c>
      <c r="K39" s="171">
        <f t="shared" si="9"/>
        <v>7.924514125425769</v>
      </c>
      <c r="L39" s="171">
        <f t="shared" si="9"/>
        <v>7.924514125425769</v>
      </c>
    </row>
    <row r="40" spans="1:12" ht="18.75">
      <c r="A40" s="154">
        <v>9</v>
      </c>
      <c r="B40" s="162" t="s">
        <v>116</v>
      </c>
      <c r="C40" s="152" t="s">
        <v>119</v>
      </c>
      <c r="D40" s="166">
        <v>1298.04</v>
      </c>
      <c r="E40" s="166">
        <v>1187.39</v>
      </c>
      <c r="F40" s="166">
        <v>1088.03</v>
      </c>
      <c r="G40" s="166">
        <v>982.15</v>
      </c>
      <c r="H40" s="168">
        <v>1098.25</v>
      </c>
      <c r="I40" s="166">
        <v>1097.48</v>
      </c>
      <c r="J40" s="166">
        <v>1097.48</v>
      </c>
      <c r="K40" s="166">
        <v>1097.48</v>
      </c>
      <c r="L40" s="166">
        <v>1097.48</v>
      </c>
    </row>
    <row r="41" spans="1:12" ht="18.75">
      <c r="A41" s="567">
        <v>10</v>
      </c>
      <c r="B41" s="569" t="s">
        <v>95</v>
      </c>
      <c r="C41" s="152" t="s">
        <v>119</v>
      </c>
      <c r="D41" s="166">
        <v>0</v>
      </c>
      <c r="E41" s="166">
        <v>5.22</v>
      </c>
      <c r="F41" s="166">
        <v>9.94</v>
      </c>
      <c r="G41" s="166">
        <v>17.64</v>
      </c>
      <c r="H41" s="166">
        <v>26.63</v>
      </c>
      <c r="I41" s="166">
        <v>26.63</v>
      </c>
      <c r="J41" s="166">
        <v>26.63</v>
      </c>
      <c r="K41" s="166">
        <v>26.63</v>
      </c>
      <c r="L41" s="166">
        <v>26.63</v>
      </c>
    </row>
    <row r="42" spans="1:12" ht="18.75">
      <c r="A42" s="568"/>
      <c r="B42" s="570"/>
      <c r="C42" s="152" t="s">
        <v>78</v>
      </c>
      <c r="D42" s="166">
        <f>D41*100/D40</f>
        <v>0</v>
      </c>
      <c r="E42" s="166">
        <f>E41*100/E40</f>
        <v>0.43961967003259245</v>
      </c>
      <c r="F42" s="166">
        <f aca="true" t="shared" si="10" ref="F42:L42">F41*100/F40</f>
        <v>0.9135777506134941</v>
      </c>
      <c r="G42" s="166">
        <f t="shared" si="10"/>
        <v>1.796059665020618</v>
      </c>
      <c r="H42" s="166">
        <f t="shared" si="10"/>
        <v>2.4247666742544958</v>
      </c>
      <c r="I42" s="166">
        <f t="shared" si="10"/>
        <v>2.426467908299012</v>
      </c>
      <c r="J42" s="166">
        <f t="shared" si="10"/>
        <v>2.426467908299012</v>
      </c>
      <c r="K42" s="166">
        <f t="shared" si="10"/>
        <v>2.426467908299012</v>
      </c>
      <c r="L42" s="166">
        <f t="shared" si="10"/>
        <v>2.426467908299012</v>
      </c>
    </row>
    <row r="43" spans="1:12" ht="37.5">
      <c r="A43" s="154">
        <v>11</v>
      </c>
      <c r="B43" s="162" t="s">
        <v>120</v>
      </c>
      <c r="C43" s="155" t="s">
        <v>65</v>
      </c>
      <c r="D43" s="164">
        <v>1527.662</v>
      </c>
      <c r="E43" s="164">
        <v>1521.116</v>
      </c>
      <c r="F43" s="164">
        <v>1572.138</v>
      </c>
      <c r="G43" s="164">
        <v>854.528</v>
      </c>
      <c r="H43" s="164">
        <v>695.81</v>
      </c>
      <c r="I43" s="166">
        <v>1426.82</v>
      </c>
      <c r="J43" s="166">
        <v>1654.9176</v>
      </c>
      <c r="K43" s="166">
        <v>1654.9176</v>
      </c>
      <c r="L43" s="166">
        <v>1654.9176</v>
      </c>
    </row>
    <row r="44" spans="1:12" ht="37.5">
      <c r="A44" s="154">
        <v>12</v>
      </c>
      <c r="B44" s="157" t="s">
        <v>122</v>
      </c>
      <c r="C44" s="155" t="s">
        <v>101</v>
      </c>
      <c r="D44" s="166">
        <f aca="true" t="shared" si="11" ref="D44:L44">D43/D29</f>
        <v>7.7291272451302815</v>
      </c>
      <c r="E44" s="166">
        <f t="shared" si="11"/>
        <v>7.473098038930545</v>
      </c>
      <c r="F44" s="166">
        <f t="shared" si="11"/>
        <v>8.294865796341131</v>
      </c>
      <c r="G44" s="166">
        <f t="shared" si="11"/>
        <v>4.536708846996356</v>
      </c>
      <c r="H44" s="166">
        <f t="shared" si="11"/>
        <v>3.491094275249611</v>
      </c>
      <c r="I44" s="166">
        <f t="shared" si="11"/>
        <v>7.273051651807787</v>
      </c>
      <c r="J44" s="166">
        <f t="shared" si="11"/>
        <v>8.601398121631384</v>
      </c>
      <c r="K44" s="166">
        <f t="shared" si="11"/>
        <v>8.601398121631384</v>
      </c>
      <c r="L44" s="166">
        <f t="shared" si="11"/>
        <v>8.601398121631384</v>
      </c>
    </row>
    <row r="45" spans="1:12" ht="37.5">
      <c r="A45" s="154">
        <v>13</v>
      </c>
      <c r="B45" s="157" t="s">
        <v>89</v>
      </c>
      <c r="C45" s="154" t="s">
        <v>78</v>
      </c>
      <c r="D45" s="169"/>
      <c r="E45" s="166">
        <f aca="true" t="shared" si="12" ref="E45:L45">E31/D31*100</f>
        <v>94.2973657300069</v>
      </c>
      <c r="F45" s="166">
        <f t="shared" si="12"/>
        <v>114.92886423267505</v>
      </c>
      <c r="G45" s="166">
        <f t="shared" si="12"/>
        <v>94.96562658107743</v>
      </c>
      <c r="H45" s="166">
        <f t="shared" si="12"/>
        <v>106.97831370617821</v>
      </c>
      <c r="I45" s="166">
        <f t="shared" si="12"/>
        <v>86.7065520176467</v>
      </c>
      <c r="J45" s="166">
        <f t="shared" si="12"/>
        <v>99.74957898811384</v>
      </c>
      <c r="K45" s="166">
        <f t="shared" si="12"/>
        <v>100</v>
      </c>
      <c r="L45" s="166">
        <f t="shared" si="12"/>
        <v>100</v>
      </c>
    </row>
    <row r="46" spans="1:12" ht="37.5">
      <c r="A46" s="154">
        <v>14</v>
      </c>
      <c r="B46" s="157" t="s">
        <v>90</v>
      </c>
      <c r="C46" s="154" t="s">
        <v>78</v>
      </c>
      <c r="D46" s="169"/>
      <c r="E46" s="166">
        <f aca="true" t="shared" si="13" ref="E46:L46">E39/D39*100</f>
        <v>90.95710661992462</v>
      </c>
      <c r="F46" s="166">
        <f t="shared" si="13"/>
        <v>100.22384671910578</v>
      </c>
      <c r="G46" s="166">
        <f t="shared" si="13"/>
        <v>78.3189519499314</v>
      </c>
      <c r="H46" s="166">
        <f t="shared" si="13"/>
        <v>109.34026253144913</v>
      </c>
      <c r="I46" s="166">
        <f t="shared" si="13"/>
        <v>35.50337819637881</v>
      </c>
      <c r="J46" s="166">
        <f t="shared" si="13"/>
        <v>100</v>
      </c>
      <c r="K46" s="166">
        <f t="shared" si="13"/>
        <v>100</v>
      </c>
      <c r="L46" s="166">
        <f t="shared" si="13"/>
        <v>100</v>
      </c>
    </row>
    <row r="47" spans="1:12" ht="18.75">
      <c r="A47" s="161">
        <v>15</v>
      </c>
      <c r="B47" s="221" t="s">
        <v>228</v>
      </c>
      <c r="C47" s="222" t="s">
        <v>229</v>
      </c>
      <c r="D47" s="242">
        <v>1.35</v>
      </c>
      <c r="E47" s="242">
        <v>1.65</v>
      </c>
      <c r="F47" s="242">
        <v>1.87</v>
      </c>
      <c r="G47" s="242">
        <v>2.28</v>
      </c>
      <c r="H47" s="241">
        <v>2.4079277497808342</v>
      </c>
      <c r="I47" s="241">
        <v>3.97749</v>
      </c>
      <c r="J47" s="241">
        <v>4.228059965181886</v>
      </c>
      <c r="K47" s="241">
        <v>4.511339982849073</v>
      </c>
      <c r="L47" s="241">
        <v>4.732395642008677</v>
      </c>
    </row>
    <row r="48" spans="1:12" ht="18.75">
      <c r="A48" s="154">
        <v>16</v>
      </c>
      <c r="B48" s="221" t="s">
        <v>232</v>
      </c>
      <c r="C48" s="222" t="s">
        <v>261</v>
      </c>
      <c r="D48" s="242">
        <v>5.72</v>
      </c>
      <c r="E48" s="242">
        <v>6.25</v>
      </c>
      <c r="F48" s="245">
        <v>7</v>
      </c>
      <c r="G48" s="246">
        <v>6.22</v>
      </c>
      <c r="H48" s="247">
        <v>6.37</v>
      </c>
      <c r="I48" s="247">
        <v>6.79</v>
      </c>
      <c r="J48" s="249">
        <v>11.21</v>
      </c>
      <c r="K48" s="247">
        <v>11.56</v>
      </c>
      <c r="L48" s="247">
        <v>11.76</v>
      </c>
    </row>
    <row r="49" spans="10:12" ht="18.75">
      <c r="J49" s="224"/>
      <c r="K49" s="224"/>
      <c r="L49" s="224"/>
    </row>
    <row r="50" spans="10:12" ht="18.75">
      <c r="J50" s="224"/>
      <c r="K50" s="224"/>
      <c r="L50" s="224"/>
    </row>
  </sheetData>
  <sheetProtection/>
  <mergeCells count="15">
    <mergeCell ref="B38:B39"/>
    <mergeCell ref="B41:B42"/>
    <mergeCell ref="A41:A42"/>
    <mergeCell ref="A38:A39"/>
    <mergeCell ref="G2:L2"/>
    <mergeCell ref="G25:L25"/>
    <mergeCell ref="J24:L24"/>
    <mergeCell ref="A17:A21"/>
    <mergeCell ref="K1:L1"/>
    <mergeCell ref="A6:L6"/>
    <mergeCell ref="A7:L7"/>
    <mergeCell ref="A33:A34"/>
    <mergeCell ref="A30:A31"/>
    <mergeCell ref="B30:B31"/>
    <mergeCell ref="B33:B34"/>
  </mergeCells>
  <printOptions horizontalCentered="1"/>
  <pageMargins left="0.3937007874015748" right="0.3937007874015748" top="0.984251968503937" bottom="0.3937007874015748" header="0" footer="0"/>
  <pageSetup fitToHeight="2" horizontalDpi="600" verticalDpi="600" orientation="landscape" paperSize="9" scale="78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28"/>
  <sheetViews>
    <sheetView view="pageBreakPreview" zoomScale="60" zoomScaleNormal="60" zoomScalePageLayoutView="0" workbookViewId="0" topLeftCell="B1">
      <selection activeCell="K23" sqref="K23"/>
    </sheetView>
  </sheetViews>
  <sheetFormatPr defaultColWidth="9.140625" defaultRowHeight="15"/>
  <cols>
    <col min="1" max="1" width="9.7109375" style="0" customWidth="1"/>
    <col min="2" max="2" width="29.421875" style="0" customWidth="1"/>
    <col min="3" max="3" width="33.00390625" style="0" customWidth="1"/>
    <col min="4" max="4" width="13.00390625" style="0" customWidth="1"/>
    <col min="5" max="5" width="15.140625" style="0" customWidth="1"/>
    <col min="6" max="6" width="17.7109375" style="0" customWidth="1"/>
    <col min="7" max="7" width="17.57421875" style="0" customWidth="1"/>
    <col min="8" max="11" width="15.7109375" style="15" customWidth="1"/>
    <col min="12" max="12" width="28.421875" style="0" customWidth="1"/>
    <col min="13" max="13" width="18.8515625" style="0" customWidth="1"/>
    <col min="14" max="14" width="18.7109375" style="0" customWidth="1"/>
    <col min="15" max="15" width="17.28125" style="0" customWidth="1"/>
    <col min="16" max="16" width="22.421875" style="15" customWidth="1"/>
    <col min="17" max="17" width="17.57421875" style="15" customWidth="1"/>
    <col min="18" max="18" width="18.57421875" style="15" customWidth="1"/>
    <col min="19" max="19" width="20.57421875" style="15" customWidth="1"/>
    <col min="20" max="21" width="15.7109375" style="15" customWidth="1"/>
    <col min="22" max="22" width="28.421875" style="15" customWidth="1"/>
    <col min="23" max="23" width="21.7109375" style="15" customWidth="1"/>
    <col min="24" max="24" width="18.7109375" style="15" customWidth="1"/>
    <col min="25" max="25" width="17.28125" style="15" customWidth="1"/>
    <col min="26" max="26" width="17.7109375" style="15" customWidth="1"/>
    <col min="27" max="31" width="15.7109375" style="15" customWidth="1"/>
    <col min="32" max="32" width="28.421875" style="0" customWidth="1"/>
    <col min="33" max="33" width="18.8515625" style="0" customWidth="1"/>
    <col min="34" max="34" width="18.7109375" style="0" customWidth="1"/>
    <col min="35" max="35" width="27.421875" style="0" customWidth="1"/>
    <col min="36" max="36" width="17.7109375" style="0" bestFit="1" customWidth="1"/>
    <col min="37" max="41" width="15.7109375" style="0" customWidth="1"/>
    <col min="42" max="42" width="28.421875" style="0" customWidth="1"/>
    <col min="43" max="43" width="18.8515625" style="0" customWidth="1"/>
    <col min="44" max="44" width="18.7109375" style="0" customWidth="1"/>
    <col min="45" max="45" width="27.421875" style="0" customWidth="1"/>
  </cols>
  <sheetData>
    <row r="1" spans="1:45" ht="18.75" customHeight="1">
      <c r="A1" s="1"/>
      <c r="B1" s="1"/>
      <c r="C1" s="1"/>
      <c r="D1" s="1"/>
      <c r="E1" s="1"/>
      <c r="F1" s="1"/>
      <c r="G1" s="2"/>
      <c r="H1" s="17"/>
      <c r="I1" s="17"/>
      <c r="J1" s="17"/>
      <c r="K1" s="17"/>
      <c r="L1" s="2"/>
      <c r="M1" s="2"/>
      <c r="N1" s="553" t="s">
        <v>0</v>
      </c>
      <c r="O1" s="553"/>
      <c r="T1" s="64"/>
      <c r="U1" s="64"/>
      <c r="V1" s="64"/>
      <c r="W1" s="553" t="s">
        <v>238</v>
      </c>
      <c r="X1" s="553"/>
      <c r="Y1" s="553"/>
      <c r="AD1" s="64"/>
      <c r="AE1" s="64"/>
      <c r="AF1" s="64"/>
      <c r="AG1" s="553" t="s">
        <v>238</v>
      </c>
      <c r="AH1" s="553"/>
      <c r="AI1" s="553"/>
      <c r="AN1" s="64"/>
      <c r="AO1" s="64"/>
      <c r="AP1" s="64"/>
      <c r="AQ1" s="553" t="s">
        <v>238</v>
      </c>
      <c r="AR1" s="553"/>
      <c r="AS1" s="553"/>
    </row>
    <row r="2" spans="1:45" ht="18.75">
      <c r="A2" s="1"/>
      <c r="B2" s="1"/>
      <c r="C2" s="1"/>
      <c r="D2" s="1"/>
      <c r="E2" s="1"/>
      <c r="F2" s="1"/>
      <c r="G2" s="1"/>
      <c r="J2" s="237" t="s">
        <v>1</v>
      </c>
      <c r="K2" s="541" t="str">
        <f>'1. Паспорт'!F2</f>
        <v>филиала "Верхнетагильская ГРЭС" ОАО "ИНТЕР РАО - Электрогенерация"</v>
      </c>
      <c r="L2" s="541"/>
      <c r="M2" s="541"/>
      <c r="N2" s="541"/>
      <c r="O2" s="541"/>
      <c r="T2" s="237" t="s">
        <v>1</v>
      </c>
      <c r="U2" s="541" t="str">
        <f>K2</f>
        <v>филиала "Верхнетагильская ГРЭС" ОАО "ИНТЕР РАО - Электрогенерация"</v>
      </c>
      <c r="V2" s="541"/>
      <c r="W2" s="541"/>
      <c r="X2" s="541"/>
      <c r="Y2" s="541"/>
      <c r="AD2" s="237" t="s">
        <v>1</v>
      </c>
      <c r="AE2" s="541" t="str">
        <f>U2</f>
        <v>филиала "Верхнетагильская ГРЭС" ОАО "ИНТЕР РАО - Электрогенерация"</v>
      </c>
      <c r="AF2" s="541"/>
      <c r="AG2" s="541"/>
      <c r="AH2" s="541"/>
      <c r="AI2" s="541"/>
      <c r="AN2" s="237" t="s">
        <v>1</v>
      </c>
      <c r="AO2" s="541" t="str">
        <f>AE2</f>
        <v>филиала "Верхнетагильская ГРЭС" ОАО "ИНТЕР РАО - Электрогенерация"</v>
      </c>
      <c r="AP2" s="541"/>
      <c r="AQ2" s="541"/>
      <c r="AR2" s="541"/>
      <c r="AS2" s="541"/>
    </row>
    <row r="3" spans="1:45" ht="18.75">
      <c r="A3" s="1"/>
      <c r="B3" s="1"/>
      <c r="C3" s="1"/>
      <c r="D3" s="1"/>
      <c r="E3" s="1"/>
      <c r="F3" s="1"/>
      <c r="G3" s="2"/>
      <c r="H3" s="17"/>
      <c r="I3" s="17"/>
      <c r="J3" s="17"/>
      <c r="K3" s="17"/>
      <c r="L3" s="2"/>
      <c r="M3" s="3" t="s">
        <v>2</v>
      </c>
      <c r="N3" s="14" t="str">
        <f>'1. Паспорт'!P2</f>
        <v>2014-2017</v>
      </c>
      <c r="O3" s="4" t="s">
        <v>4</v>
      </c>
      <c r="T3" s="64"/>
      <c r="U3" s="64"/>
      <c r="V3" s="64"/>
      <c r="W3" s="3" t="s">
        <v>2</v>
      </c>
      <c r="X3" s="14" t="str">
        <f>N3</f>
        <v>2014-2017</v>
      </c>
      <c r="Y3" s="4" t="s">
        <v>4</v>
      </c>
      <c r="AD3" s="64"/>
      <c r="AE3" s="64"/>
      <c r="AF3" s="64"/>
      <c r="AG3" s="3" t="s">
        <v>2</v>
      </c>
      <c r="AH3" s="14" t="str">
        <f>X3</f>
        <v>2014-2017</v>
      </c>
      <c r="AI3" s="4" t="s">
        <v>4</v>
      </c>
      <c r="AN3" s="64"/>
      <c r="AO3" s="64"/>
      <c r="AP3" s="64"/>
      <c r="AQ3" s="3" t="s">
        <v>2</v>
      </c>
      <c r="AR3" s="14" t="str">
        <f>AH3</f>
        <v>2014-2017</v>
      </c>
      <c r="AS3" s="4" t="s">
        <v>4</v>
      </c>
    </row>
    <row r="5" s="259" customFormat="1" ht="15"/>
    <row r="6" spans="1:31" s="259" customFormat="1" ht="18.75">
      <c r="A6" s="609" t="s">
        <v>49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257"/>
      <c r="Q6" s="257"/>
      <c r="R6" s="257"/>
      <c r="S6" s="257"/>
      <c r="T6" s="257"/>
      <c r="U6" s="257"/>
      <c r="V6" s="258"/>
      <c r="W6" s="258"/>
      <c r="X6" s="258"/>
      <c r="Y6" s="258"/>
      <c r="Z6" s="258"/>
      <c r="AA6" s="258"/>
      <c r="AB6" s="258"/>
      <c r="AC6" s="258"/>
      <c r="AD6" s="258"/>
      <c r="AE6" s="258"/>
    </row>
    <row r="7" spans="1:31" s="259" customFormat="1" ht="18.75">
      <c r="A7" s="574" t="str">
        <f>K2</f>
        <v>филиала "Верхнетагильская ГРЭС" ОАО "ИНТЕР РАО - Электрогенерация"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261"/>
      <c r="Q7" s="261"/>
      <c r="R7" s="261"/>
      <c r="S7" s="261"/>
      <c r="T7" s="261"/>
      <c r="U7" s="261"/>
      <c r="V7" s="262"/>
      <c r="W7" s="262"/>
      <c r="X7" s="262"/>
      <c r="Y7" s="262"/>
      <c r="Z7" s="262"/>
      <c r="AA7" s="262"/>
      <c r="AB7" s="262"/>
      <c r="AC7" s="262"/>
      <c r="AD7" s="262"/>
      <c r="AE7" s="262"/>
    </row>
    <row r="8" spans="1:31" s="259" customFormat="1" ht="18.75">
      <c r="A8" s="260"/>
      <c r="B8" s="260"/>
      <c r="C8" s="262"/>
      <c r="D8" s="263"/>
      <c r="E8" s="263"/>
      <c r="F8" s="263" t="s">
        <v>2</v>
      </c>
      <c r="G8" s="574" t="str">
        <f>N3</f>
        <v>2014-2017</v>
      </c>
      <c r="H8" s="574"/>
      <c r="I8" s="264" t="s">
        <v>4</v>
      </c>
      <c r="L8" s="262"/>
      <c r="M8" s="262"/>
      <c r="N8" s="261"/>
      <c r="O8" s="261"/>
      <c r="P8" s="262"/>
      <c r="Q8" s="265"/>
      <c r="R8" s="265"/>
      <c r="S8" s="265"/>
      <c r="T8" s="265"/>
      <c r="U8" s="265"/>
      <c r="V8" s="262"/>
      <c r="W8" s="262"/>
      <c r="X8" s="262"/>
      <c r="Y8" s="262"/>
      <c r="Z8" s="262"/>
      <c r="AA8" s="262"/>
      <c r="AB8" s="262"/>
      <c r="AC8" s="262"/>
      <c r="AD8" s="262"/>
      <c r="AE8" s="262"/>
    </row>
    <row r="9" spans="1:15" ht="15.75" thickBot="1">
      <c r="A9" s="1"/>
      <c r="B9" s="1"/>
      <c r="C9" s="1"/>
      <c r="D9" s="1"/>
      <c r="E9" s="1"/>
      <c r="F9" s="1"/>
      <c r="G9" s="1"/>
      <c r="L9" s="1"/>
      <c r="M9" s="1"/>
      <c r="N9" s="1"/>
      <c r="O9" s="1"/>
    </row>
    <row r="10" spans="1:45" ht="18.75">
      <c r="A10" s="594" t="s">
        <v>5</v>
      </c>
      <c r="B10" s="575" t="s">
        <v>6</v>
      </c>
      <c r="C10" s="575" t="s">
        <v>7</v>
      </c>
      <c r="D10" s="575" t="s">
        <v>8</v>
      </c>
      <c r="E10" s="597" t="s">
        <v>9</v>
      </c>
      <c r="F10" s="603">
        <v>2014</v>
      </c>
      <c r="G10" s="604"/>
      <c r="H10" s="604"/>
      <c r="I10" s="604"/>
      <c r="J10" s="604"/>
      <c r="K10" s="604"/>
      <c r="L10" s="604"/>
      <c r="M10" s="604"/>
      <c r="N10" s="604"/>
      <c r="O10" s="605"/>
      <c r="P10" s="606">
        <f>F10+1</f>
        <v>2015</v>
      </c>
      <c r="Q10" s="607"/>
      <c r="R10" s="607"/>
      <c r="S10" s="607"/>
      <c r="T10" s="607"/>
      <c r="U10" s="607"/>
      <c r="V10" s="607"/>
      <c r="W10" s="607"/>
      <c r="X10" s="607"/>
      <c r="Y10" s="608"/>
      <c r="Z10" s="600">
        <f>P10+1</f>
        <v>2016</v>
      </c>
      <c r="AA10" s="601"/>
      <c r="AB10" s="601"/>
      <c r="AC10" s="601"/>
      <c r="AD10" s="601"/>
      <c r="AE10" s="601"/>
      <c r="AF10" s="601"/>
      <c r="AG10" s="601"/>
      <c r="AH10" s="601"/>
      <c r="AI10" s="602"/>
      <c r="AJ10" s="585">
        <f>Z10+1</f>
        <v>2017</v>
      </c>
      <c r="AK10" s="586"/>
      <c r="AL10" s="586"/>
      <c r="AM10" s="586"/>
      <c r="AN10" s="586"/>
      <c r="AO10" s="586"/>
      <c r="AP10" s="586"/>
      <c r="AQ10" s="586"/>
      <c r="AR10" s="586"/>
      <c r="AS10" s="587"/>
    </row>
    <row r="11" spans="1:45" ht="18.75" customHeight="1">
      <c r="A11" s="577"/>
      <c r="B11" s="576"/>
      <c r="C11" s="576"/>
      <c r="D11" s="576"/>
      <c r="E11" s="598"/>
      <c r="F11" s="588" t="s">
        <v>10</v>
      </c>
      <c r="G11" s="589"/>
      <c r="H11" s="589"/>
      <c r="I11" s="589"/>
      <c r="J11" s="589"/>
      <c r="K11" s="589"/>
      <c r="L11" s="589"/>
      <c r="M11" s="589" t="s">
        <v>11</v>
      </c>
      <c r="N11" s="589" t="s">
        <v>12</v>
      </c>
      <c r="O11" s="590" t="s">
        <v>13</v>
      </c>
      <c r="P11" s="588" t="s">
        <v>10</v>
      </c>
      <c r="Q11" s="589"/>
      <c r="R11" s="589"/>
      <c r="S11" s="589"/>
      <c r="T11" s="589"/>
      <c r="U11" s="589"/>
      <c r="V11" s="589"/>
      <c r="W11" s="589" t="s">
        <v>11</v>
      </c>
      <c r="X11" s="589" t="s">
        <v>12</v>
      </c>
      <c r="Y11" s="590" t="s">
        <v>13</v>
      </c>
      <c r="Z11" s="588" t="s">
        <v>10</v>
      </c>
      <c r="AA11" s="589"/>
      <c r="AB11" s="589"/>
      <c r="AC11" s="589"/>
      <c r="AD11" s="589"/>
      <c r="AE11" s="589"/>
      <c r="AF11" s="589"/>
      <c r="AG11" s="589" t="s">
        <v>11</v>
      </c>
      <c r="AH11" s="589" t="s">
        <v>12</v>
      </c>
      <c r="AI11" s="590" t="s">
        <v>13</v>
      </c>
      <c r="AJ11" s="588" t="s">
        <v>10</v>
      </c>
      <c r="AK11" s="589"/>
      <c r="AL11" s="589"/>
      <c r="AM11" s="589"/>
      <c r="AN11" s="589"/>
      <c r="AO11" s="589"/>
      <c r="AP11" s="589"/>
      <c r="AQ11" s="589" t="s">
        <v>11</v>
      </c>
      <c r="AR11" s="589" t="s">
        <v>12</v>
      </c>
      <c r="AS11" s="590" t="s">
        <v>13</v>
      </c>
    </row>
    <row r="12" spans="1:45" ht="40.5" customHeight="1">
      <c r="A12" s="577"/>
      <c r="B12" s="576"/>
      <c r="C12" s="576"/>
      <c r="D12" s="576"/>
      <c r="E12" s="598"/>
      <c r="F12" s="577" t="s">
        <v>14</v>
      </c>
      <c r="G12" s="576"/>
      <c r="H12" s="578" t="s">
        <v>30</v>
      </c>
      <c r="I12" s="579"/>
      <c r="J12" s="578" t="s">
        <v>32</v>
      </c>
      <c r="K12" s="579"/>
      <c r="L12" s="582" t="s">
        <v>36</v>
      </c>
      <c r="M12" s="589"/>
      <c r="N12" s="589"/>
      <c r="O12" s="590"/>
      <c r="P12" s="577" t="s">
        <v>14</v>
      </c>
      <c r="Q12" s="576"/>
      <c r="R12" s="578" t="s">
        <v>30</v>
      </c>
      <c r="S12" s="579"/>
      <c r="T12" s="578" t="s">
        <v>32</v>
      </c>
      <c r="U12" s="579"/>
      <c r="V12" s="582" t="s">
        <v>36</v>
      </c>
      <c r="W12" s="589"/>
      <c r="X12" s="589"/>
      <c r="Y12" s="590"/>
      <c r="Z12" s="577" t="s">
        <v>14</v>
      </c>
      <c r="AA12" s="576"/>
      <c r="AB12" s="578" t="s">
        <v>30</v>
      </c>
      <c r="AC12" s="579"/>
      <c r="AD12" s="578" t="s">
        <v>32</v>
      </c>
      <c r="AE12" s="579"/>
      <c r="AF12" s="582" t="s">
        <v>36</v>
      </c>
      <c r="AG12" s="589"/>
      <c r="AH12" s="589"/>
      <c r="AI12" s="590"/>
      <c r="AJ12" s="577" t="s">
        <v>14</v>
      </c>
      <c r="AK12" s="576"/>
      <c r="AL12" s="578" t="s">
        <v>30</v>
      </c>
      <c r="AM12" s="579"/>
      <c r="AN12" s="578" t="s">
        <v>32</v>
      </c>
      <c r="AO12" s="579"/>
      <c r="AP12" s="582" t="s">
        <v>36</v>
      </c>
      <c r="AQ12" s="589"/>
      <c r="AR12" s="589"/>
      <c r="AS12" s="590"/>
    </row>
    <row r="13" spans="1:45" ht="15" customHeight="1">
      <c r="A13" s="577"/>
      <c r="B13" s="576"/>
      <c r="C13" s="576"/>
      <c r="D13" s="576"/>
      <c r="E13" s="598"/>
      <c r="F13" s="577" t="s">
        <v>15</v>
      </c>
      <c r="G13" s="576" t="s">
        <v>35</v>
      </c>
      <c r="H13" s="580" t="s">
        <v>31</v>
      </c>
      <c r="I13" s="576" t="s">
        <v>35</v>
      </c>
      <c r="J13" s="580" t="s">
        <v>33</v>
      </c>
      <c r="K13" s="576" t="s">
        <v>35</v>
      </c>
      <c r="L13" s="583"/>
      <c r="M13" s="589"/>
      <c r="N13" s="589"/>
      <c r="O13" s="590"/>
      <c r="P13" s="577" t="s">
        <v>15</v>
      </c>
      <c r="Q13" s="576" t="s">
        <v>35</v>
      </c>
      <c r="R13" s="580" t="s">
        <v>31</v>
      </c>
      <c r="S13" s="576" t="s">
        <v>35</v>
      </c>
      <c r="T13" s="580" t="s">
        <v>33</v>
      </c>
      <c r="U13" s="576" t="s">
        <v>35</v>
      </c>
      <c r="V13" s="583"/>
      <c r="W13" s="589"/>
      <c r="X13" s="589"/>
      <c r="Y13" s="590"/>
      <c r="Z13" s="577" t="s">
        <v>15</v>
      </c>
      <c r="AA13" s="576" t="s">
        <v>35</v>
      </c>
      <c r="AB13" s="580" t="s">
        <v>31</v>
      </c>
      <c r="AC13" s="576" t="s">
        <v>35</v>
      </c>
      <c r="AD13" s="580" t="s">
        <v>33</v>
      </c>
      <c r="AE13" s="576" t="s">
        <v>35</v>
      </c>
      <c r="AF13" s="583"/>
      <c r="AG13" s="589"/>
      <c r="AH13" s="589"/>
      <c r="AI13" s="590"/>
      <c r="AJ13" s="577" t="s">
        <v>15</v>
      </c>
      <c r="AK13" s="576" t="s">
        <v>35</v>
      </c>
      <c r="AL13" s="580" t="s">
        <v>31</v>
      </c>
      <c r="AM13" s="576" t="s">
        <v>35</v>
      </c>
      <c r="AN13" s="580" t="s">
        <v>33</v>
      </c>
      <c r="AO13" s="576" t="s">
        <v>35</v>
      </c>
      <c r="AP13" s="583"/>
      <c r="AQ13" s="589"/>
      <c r="AR13" s="589"/>
      <c r="AS13" s="590"/>
    </row>
    <row r="14" spans="1:45" ht="18.75" customHeight="1">
      <c r="A14" s="577"/>
      <c r="B14" s="576"/>
      <c r="C14" s="576"/>
      <c r="D14" s="576"/>
      <c r="E14" s="599"/>
      <c r="F14" s="577"/>
      <c r="G14" s="576"/>
      <c r="H14" s="581"/>
      <c r="I14" s="576"/>
      <c r="J14" s="581"/>
      <c r="K14" s="576"/>
      <c r="L14" s="584"/>
      <c r="M14" s="589"/>
      <c r="N14" s="589"/>
      <c r="O14" s="590"/>
      <c r="P14" s="577"/>
      <c r="Q14" s="576"/>
      <c r="R14" s="581"/>
      <c r="S14" s="576"/>
      <c r="T14" s="581"/>
      <c r="U14" s="576"/>
      <c r="V14" s="584"/>
      <c r="W14" s="589"/>
      <c r="X14" s="589"/>
      <c r="Y14" s="590"/>
      <c r="Z14" s="577"/>
      <c r="AA14" s="576"/>
      <c r="AB14" s="581"/>
      <c r="AC14" s="576"/>
      <c r="AD14" s="581"/>
      <c r="AE14" s="576"/>
      <c r="AF14" s="584"/>
      <c r="AG14" s="589"/>
      <c r="AH14" s="589"/>
      <c r="AI14" s="590"/>
      <c r="AJ14" s="577"/>
      <c r="AK14" s="576"/>
      <c r="AL14" s="581"/>
      <c r="AM14" s="576"/>
      <c r="AN14" s="581"/>
      <c r="AO14" s="576"/>
      <c r="AP14" s="584"/>
      <c r="AQ14" s="589"/>
      <c r="AR14" s="589"/>
      <c r="AS14" s="590"/>
    </row>
    <row r="15" spans="1:45" ht="19.5" thickBot="1">
      <c r="A15" s="8">
        <v>1</v>
      </c>
      <c r="B15" s="9">
        <v>2</v>
      </c>
      <c r="C15" s="9">
        <v>3</v>
      </c>
      <c r="D15" s="9">
        <v>4</v>
      </c>
      <c r="E15" s="10">
        <v>5</v>
      </c>
      <c r="F15" s="8">
        <v>6</v>
      </c>
      <c r="G15" s="9">
        <v>7</v>
      </c>
      <c r="H15" s="9"/>
      <c r="I15" s="9"/>
      <c r="J15" s="9"/>
      <c r="K15" s="9"/>
      <c r="L15" s="9">
        <v>10</v>
      </c>
      <c r="M15" s="9">
        <v>11</v>
      </c>
      <c r="N15" s="9">
        <v>12</v>
      </c>
      <c r="O15" s="30">
        <v>13</v>
      </c>
      <c r="P15" s="8">
        <v>6</v>
      </c>
      <c r="Q15" s="9">
        <v>7</v>
      </c>
      <c r="R15" s="9"/>
      <c r="S15" s="9"/>
      <c r="T15" s="9"/>
      <c r="U15" s="9"/>
      <c r="V15" s="9">
        <v>10</v>
      </c>
      <c r="W15" s="9">
        <v>11</v>
      </c>
      <c r="X15" s="9">
        <v>12</v>
      </c>
      <c r="Y15" s="30">
        <v>13</v>
      </c>
      <c r="Z15" s="8">
        <v>6</v>
      </c>
      <c r="AA15" s="9">
        <v>7</v>
      </c>
      <c r="AB15" s="9"/>
      <c r="AC15" s="9"/>
      <c r="AD15" s="9"/>
      <c r="AE15" s="9"/>
      <c r="AF15" s="9">
        <v>10</v>
      </c>
      <c r="AG15" s="9">
        <v>11</v>
      </c>
      <c r="AH15" s="9">
        <v>12</v>
      </c>
      <c r="AI15" s="30">
        <v>13</v>
      </c>
      <c r="AJ15" s="8">
        <v>6</v>
      </c>
      <c r="AK15" s="9">
        <v>7</v>
      </c>
      <c r="AL15" s="9"/>
      <c r="AM15" s="9"/>
      <c r="AN15" s="9"/>
      <c r="AO15" s="9"/>
      <c r="AP15" s="9">
        <v>10</v>
      </c>
      <c r="AQ15" s="9">
        <v>11</v>
      </c>
      <c r="AR15" s="9">
        <v>12</v>
      </c>
      <c r="AS15" s="30">
        <v>13</v>
      </c>
    </row>
    <row r="16" spans="1:45" ht="18.75">
      <c r="A16" s="595"/>
      <c r="B16" s="596"/>
      <c r="C16" s="596"/>
      <c r="D16" s="7"/>
      <c r="E16" s="11"/>
      <c r="F16" s="32"/>
      <c r="G16" s="27"/>
      <c r="H16" s="27"/>
      <c r="I16" s="27"/>
      <c r="J16" s="27"/>
      <c r="K16" s="27"/>
      <c r="L16" s="27"/>
      <c r="M16" s="27"/>
      <c r="N16" s="28"/>
      <c r="O16" s="29"/>
      <c r="P16" s="32"/>
      <c r="Q16" s="27"/>
      <c r="R16" s="27"/>
      <c r="S16" s="27"/>
      <c r="T16" s="27"/>
      <c r="U16" s="27"/>
      <c r="V16" s="27"/>
      <c r="W16" s="27"/>
      <c r="X16" s="28"/>
      <c r="Y16" s="29"/>
      <c r="Z16" s="32"/>
      <c r="AA16" s="27"/>
      <c r="AB16" s="27"/>
      <c r="AC16" s="27"/>
      <c r="AD16" s="27"/>
      <c r="AE16" s="27"/>
      <c r="AF16" s="27"/>
      <c r="AG16" s="27"/>
      <c r="AH16" s="28"/>
      <c r="AI16" s="29"/>
      <c r="AJ16" s="32"/>
      <c r="AK16" s="27"/>
      <c r="AL16" s="27"/>
      <c r="AM16" s="27"/>
      <c r="AN16" s="27"/>
      <c r="AO16" s="27"/>
      <c r="AP16" s="27"/>
      <c r="AQ16" s="27"/>
      <c r="AR16" s="28"/>
      <c r="AS16" s="29"/>
    </row>
    <row r="17" spans="1:45" ht="78.75">
      <c r="A17" s="5" t="s">
        <v>17</v>
      </c>
      <c r="B17" s="46" t="s">
        <v>37</v>
      </c>
      <c r="C17" s="45" t="s">
        <v>40</v>
      </c>
      <c r="D17" s="47">
        <v>2016</v>
      </c>
      <c r="E17" s="31" t="s">
        <v>19</v>
      </c>
      <c r="F17" s="33"/>
      <c r="G17" s="16"/>
      <c r="H17" s="16"/>
      <c r="I17" s="16"/>
      <c r="J17" s="16"/>
      <c r="K17" s="16"/>
      <c r="L17" s="16"/>
      <c r="M17" s="50">
        <v>125292.5</v>
      </c>
      <c r="N17" s="23" t="s">
        <v>20</v>
      </c>
      <c r="O17" s="24"/>
      <c r="P17" s="33"/>
      <c r="Q17" s="16"/>
      <c r="R17" s="16"/>
      <c r="S17" s="16"/>
      <c r="T17" s="16"/>
      <c r="U17" s="16"/>
      <c r="V17" s="16"/>
      <c r="W17" s="22">
        <v>359382.298305085</v>
      </c>
      <c r="X17" s="23" t="str">
        <f>N17</f>
        <v>амортизация</v>
      </c>
      <c r="Y17" s="24"/>
      <c r="Z17" s="33"/>
      <c r="AA17" s="16"/>
      <c r="AB17" s="16"/>
      <c r="AC17" s="16"/>
      <c r="AD17" s="16">
        <f>AN17/8*3</f>
        <v>2344.2641999999996</v>
      </c>
      <c r="AE17" s="16">
        <f>AD17*'4. ПП'!K23/1000</f>
        <v>6873.347498053091</v>
      </c>
      <c r="AF17" s="16">
        <f>AA17+AC17+AE17</f>
        <v>6873.347498053091</v>
      </c>
      <c r="AG17" s="48">
        <v>24202.761016949156</v>
      </c>
      <c r="AH17" s="23" t="str">
        <f>X17</f>
        <v>амортизация</v>
      </c>
      <c r="AI17" s="24"/>
      <c r="AJ17" s="33"/>
      <c r="AK17" s="16"/>
      <c r="AL17" s="16"/>
      <c r="AM17" s="16"/>
      <c r="AN17" s="16">
        <v>6251.3712</v>
      </c>
      <c r="AO17" s="16">
        <f>AN17*'4. ПП'!L23/1000</f>
        <v>19240.894384513143</v>
      </c>
      <c r="AP17" s="19">
        <f>AK17+AM17+AO17</f>
        <v>19240.894384513143</v>
      </c>
      <c r="AQ17" s="49"/>
      <c r="AR17" s="23" t="str">
        <f>AH17</f>
        <v>амортизация</v>
      </c>
      <c r="AS17" s="24"/>
    </row>
    <row r="18" spans="1:45" ht="63">
      <c r="A18" s="6" t="s">
        <v>21</v>
      </c>
      <c r="B18" s="18" t="s">
        <v>42</v>
      </c>
      <c r="C18" s="18" t="s">
        <v>41</v>
      </c>
      <c r="D18" s="25" t="s">
        <v>44</v>
      </c>
      <c r="E18" s="21" t="s">
        <v>43</v>
      </c>
      <c r="F18" s="34">
        <v>690</v>
      </c>
      <c r="G18" s="19">
        <f>F18*'4. ПП'!I22</f>
        <v>717.6</v>
      </c>
      <c r="H18" s="19"/>
      <c r="I18" s="19"/>
      <c r="J18" s="19"/>
      <c r="K18" s="19"/>
      <c r="L18" s="19">
        <f>G18+I18+K18</f>
        <v>717.6</v>
      </c>
      <c r="M18" s="20"/>
      <c r="N18" s="35" t="s">
        <v>51</v>
      </c>
      <c r="O18" s="26"/>
      <c r="P18" s="34">
        <f>F18</f>
        <v>690</v>
      </c>
      <c r="Q18" s="19">
        <f>P18*'4. ПП'!J22</f>
        <v>762.8088</v>
      </c>
      <c r="R18" s="19"/>
      <c r="S18" s="19"/>
      <c r="T18" s="19"/>
      <c r="U18" s="19"/>
      <c r="V18" s="19">
        <f>Q18+S18+U18</f>
        <v>762.8088</v>
      </c>
      <c r="W18" s="20"/>
      <c r="X18" s="35" t="str">
        <f>N18</f>
        <v>не требуется</v>
      </c>
      <c r="Y18" s="26"/>
      <c r="Z18" s="34"/>
      <c r="AA18" s="19"/>
      <c r="AB18" s="19"/>
      <c r="AC18" s="19"/>
      <c r="AD18" s="19"/>
      <c r="AE18" s="19"/>
      <c r="AF18" s="19"/>
      <c r="AG18" s="20"/>
      <c r="AH18" s="35" t="str">
        <f>X18</f>
        <v>не требуется</v>
      </c>
      <c r="AI18" s="26" t="s">
        <v>45</v>
      </c>
      <c r="AJ18" s="34"/>
      <c r="AK18" s="19"/>
      <c r="AL18" s="19"/>
      <c r="AM18" s="19"/>
      <c r="AN18" s="19"/>
      <c r="AO18" s="19"/>
      <c r="AP18" s="19"/>
      <c r="AQ18" s="20"/>
      <c r="AR18" s="35" t="str">
        <f>AH18</f>
        <v>не требуется</v>
      </c>
      <c r="AS18" s="26" t="s">
        <v>45</v>
      </c>
    </row>
    <row r="19" spans="1:45" ht="78.75">
      <c r="A19" s="6" t="s">
        <v>25</v>
      </c>
      <c r="B19" s="18" t="s">
        <v>37</v>
      </c>
      <c r="C19" s="18" t="s">
        <v>52</v>
      </c>
      <c r="D19" s="25" t="s">
        <v>38</v>
      </c>
      <c r="E19" s="21" t="s">
        <v>19</v>
      </c>
      <c r="F19" s="34"/>
      <c r="G19" s="19"/>
      <c r="H19" s="19"/>
      <c r="I19" s="19"/>
      <c r="J19" s="19"/>
      <c r="K19" s="19"/>
      <c r="L19" s="19"/>
      <c r="M19" s="53">
        <v>29404.000000000004</v>
      </c>
      <c r="N19" s="35" t="s">
        <v>20</v>
      </c>
      <c r="O19" s="26"/>
      <c r="P19" s="34"/>
      <c r="Q19" s="19"/>
      <c r="R19" s="19">
        <v>1213</v>
      </c>
      <c r="S19" s="19">
        <f>R19*'4. ПП'!J14/1000*'4. ПП'!J23/1000</f>
        <v>652.6992784438725</v>
      </c>
      <c r="T19" s="19"/>
      <c r="U19" s="19"/>
      <c r="V19" s="19">
        <f>Q19+S19+U19</f>
        <v>652.6992784438725</v>
      </c>
      <c r="W19" s="20">
        <v>26515</v>
      </c>
      <c r="X19" s="35" t="str">
        <f>N19</f>
        <v>амортизация</v>
      </c>
      <c r="Y19" s="26"/>
      <c r="Z19" s="34"/>
      <c r="AA19" s="19"/>
      <c r="AB19" s="19">
        <v>5232</v>
      </c>
      <c r="AC19" s="19">
        <f>AB19*'4. ПП'!K14/1000*'4. ПП'!K23/1000</f>
        <v>2469.7634386431437</v>
      </c>
      <c r="AD19" s="19"/>
      <c r="AE19" s="19"/>
      <c r="AF19" s="19">
        <f>AA19+AC19+AE19</f>
        <v>2469.7634386431437</v>
      </c>
      <c r="AG19" s="20">
        <v>28343</v>
      </c>
      <c r="AH19" s="35" t="str">
        <f>X19</f>
        <v>амортизация</v>
      </c>
      <c r="AI19" s="26"/>
      <c r="AJ19" s="34"/>
      <c r="AK19" s="19"/>
      <c r="AL19" s="19">
        <v>9888</v>
      </c>
      <c r="AM19" s="19">
        <f>AL19*'4. ПП'!L14/1000*'4. ПП'!L23/1000</f>
        <v>4899.867112598373</v>
      </c>
      <c r="AN19" s="19"/>
      <c r="AO19" s="19"/>
      <c r="AP19" s="19">
        <f>AK19+AM19+AO19</f>
        <v>4899.867112598373</v>
      </c>
      <c r="AQ19" s="20"/>
      <c r="AR19" s="35" t="str">
        <f>AH19</f>
        <v>амортизация</v>
      </c>
      <c r="AS19" s="26"/>
    </row>
    <row r="20" spans="1:45" ht="19.5" thickBot="1">
      <c r="A20" s="591" t="s">
        <v>39</v>
      </c>
      <c r="B20" s="592"/>
      <c r="C20" s="592"/>
      <c r="D20" s="592"/>
      <c r="E20" s="593"/>
      <c r="F20" s="41">
        <f aca="true" t="shared" si="0" ref="F20:M20">SUM(F17:F19)</f>
        <v>690</v>
      </c>
      <c r="G20" s="42">
        <f t="shared" si="0"/>
        <v>717.6</v>
      </c>
      <c r="H20" s="42">
        <f t="shared" si="0"/>
        <v>0</v>
      </c>
      <c r="I20" s="42">
        <f t="shared" si="0"/>
        <v>0</v>
      </c>
      <c r="J20" s="42">
        <f t="shared" si="0"/>
        <v>0</v>
      </c>
      <c r="K20" s="42">
        <f t="shared" si="0"/>
        <v>0</v>
      </c>
      <c r="L20" s="42">
        <f t="shared" si="0"/>
        <v>717.6</v>
      </c>
      <c r="M20" s="42">
        <f t="shared" si="0"/>
        <v>154696.5</v>
      </c>
      <c r="N20" s="42" t="s">
        <v>29</v>
      </c>
      <c r="O20" s="51" t="s">
        <v>29</v>
      </c>
      <c r="P20" s="44">
        <f aca="true" t="shared" si="1" ref="P20:W20">SUM(P17:P19)</f>
        <v>690</v>
      </c>
      <c r="Q20" s="42">
        <f t="shared" si="1"/>
        <v>762.8088</v>
      </c>
      <c r="R20" s="42">
        <f t="shared" si="1"/>
        <v>1213</v>
      </c>
      <c r="S20" s="42">
        <f t="shared" si="1"/>
        <v>652.6992784438725</v>
      </c>
      <c r="T20" s="42">
        <f t="shared" si="1"/>
        <v>0</v>
      </c>
      <c r="U20" s="42">
        <f t="shared" si="1"/>
        <v>0</v>
      </c>
      <c r="V20" s="42">
        <f t="shared" si="1"/>
        <v>1415.5080784438724</v>
      </c>
      <c r="W20" s="42">
        <f t="shared" si="1"/>
        <v>385897.298305085</v>
      </c>
      <c r="X20" s="42" t="s">
        <v>29</v>
      </c>
      <c r="Y20" s="52" t="s">
        <v>29</v>
      </c>
      <c r="Z20" s="44">
        <f aca="true" t="shared" si="2" ref="Z20:AG20">SUM(Z17:Z19)</f>
        <v>0</v>
      </c>
      <c r="AA20" s="42">
        <f t="shared" si="2"/>
        <v>0</v>
      </c>
      <c r="AB20" s="42">
        <f t="shared" si="2"/>
        <v>5232</v>
      </c>
      <c r="AC20" s="42">
        <f t="shared" si="2"/>
        <v>2469.7634386431437</v>
      </c>
      <c r="AD20" s="42">
        <f t="shared" si="2"/>
        <v>2344.2641999999996</v>
      </c>
      <c r="AE20" s="42">
        <f t="shared" si="2"/>
        <v>6873.347498053091</v>
      </c>
      <c r="AF20" s="42">
        <f t="shared" si="2"/>
        <v>9343.110936696234</v>
      </c>
      <c r="AG20" s="42">
        <f t="shared" si="2"/>
        <v>52545.76101694915</v>
      </c>
      <c r="AH20" s="42" t="s">
        <v>29</v>
      </c>
      <c r="AI20" s="52" t="s">
        <v>29</v>
      </c>
      <c r="AJ20" s="44">
        <f aca="true" t="shared" si="3" ref="AJ20:AQ20">SUM(AJ17:AJ19)</f>
        <v>0</v>
      </c>
      <c r="AK20" s="42">
        <f t="shared" si="3"/>
        <v>0</v>
      </c>
      <c r="AL20" s="42">
        <f t="shared" si="3"/>
        <v>9888</v>
      </c>
      <c r="AM20" s="42">
        <f t="shared" si="3"/>
        <v>4899.867112598373</v>
      </c>
      <c r="AN20" s="42">
        <f t="shared" si="3"/>
        <v>6251.3712</v>
      </c>
      <c r="AO20" s="42">
        <f t="shared" si="3"/>
        <v>19240.894384513143</v>
      </c>
      <c r="AP20" s="42">
        <f t="shared" si="3"/>
        <v>24140.761497111518</v>
      </c>
      <c r="AQ20" s="42">
        <f t="shared" si="3"/>
        <v>0</v>
      </c>
      <c r="AR20" s="42" t="s">
        <v>29</v>
      </c>
      <c r="AS20" s="52" t="s">
        <v>29</v>
      </c>
    </row>
    <row r="22" spans="6:36" s="136" customFormat="1" ht="18.75">
      <c r="F22" s="136" t="s">
        <v>265</v>
      </c>
      <c r="P22" s="136" t="s">
        <v>265</v>
      </c>
      <c r="Z22" s="136" t="s">
        <v>265</v>
      </c>
      <c r="AJ22" s="136" t="s">
        <v>265</v>
      </c>
    </row>
    <row r="23" spans="6:43" s="136" customFormat="1" ht="112.5">
      <c r="F23" s="143" t="s">
        <v>7</v>
      </c>
      <c r="G23" s="143" t="s">
        <v>243</v>
      </c>
      <c r="H23" s="143" t="s">
        <v>228</v>
      </c>
      <c r="I23" s="158" t="s">
        <v>269</v>
      </c>
      <c r="P23" s="143" t="s">
        <v>7</v>
      </c>
      <c r="Q23" s="143" t="s">
        <v>243</v>
      </c>
      <c r="R23" s="143" t="s">
        <v>228</v>
      </c>
      <c r="S23" s="158" t="s">
        <v>269</v>
      </c>
      <c r="T23" s="143" t="s">
        <v>250</v>
      </c>
      <c r="U23" s="143" t="s">
        <v>107</v>
      </c>
      <c r="V23" s="615" t="s">
        <v>230</v>
      </c>
      <c r="W23" s="158" t="s">
        <v>267</v>
      </c>
      <c r="X23" s="268"/>
      <c r="Z23" s="143" t="s">
        <v>7</v>
      </c>
      <c r="AA23" s="143" t="s">
        <v>32</v>
      </c>
      <c r="AB23" s="143" t="s">
        <v>252</v>
      </c>
      <c r="AC23" s="158" t="s">
        <v>269</v>
      </c>
      <c r="AD23" s="143" t="s">
        <v>250</v>
      </c>
      <c r="AE23" s="143" t="s">
        <v>107</v>
      </c>
      <c r="AF23" s="615" t="s">
        <v>230</v>
      </c>
      <c r="AG23" s="158" t="s">
        <v>267</v>
      </c>
      <c r="AJ23" s="143" t="s">
        <v>7</v>
      </c>
      <c r="AK23" s="143" t="s">
        <v>32</v>
      </c>
      <c r="AL23" s="143" t="s">
        <v>252</v>
      </c>
      <c r="AM23" s="158" t="s">
        <v>269</v>
      </c>
      <c r="AN23" s="143" t="s">
        <v>250</v>
      </c>
      <c r="AO23" s="143" t="s">
        <v>107</v>
      </c>
      <c r="AP23" s="615" t="s">
        <v>230</v>
      </c>
      <c r="AQ23" s="158" t="s">
        <v>267</v>
      </c>
    </row>
    <row r="24" spans="6:43" s="136" customFormat="1" ht="18.75">
      <c r="F24" s="143"/>
      <c r="G24" s="143" t="s">
        <v>245</v>
      </c>
      <c r="H24" s="222" t="s">
        <v>229</v>
      </c>
      <c r="I24" s="143" t="s">
        <v>249</v>
      </c>
      <c r="P24" s="143"/>
      <c r="Q24" s="143" t="s">
        <v>245</v>
      </c>
      <c r="R24" s="222" t="s">
        <v>229</v>
      </c>
      <c r="S24" s="143" t="s">
        <v>249</v>
      </c>
      <c r="T24" s="143" t="s">
        <v>31</v>
      </c>
      <c r="U24" s="155" t="s">
        <v>86</v>
      </c>
      <c r="V24" s="222" t="s">
        <v>231</v>
      </c>
      <c r="W24" s="143" t="s">
        <v>249</v>
      </c>
      <c r="X24" s="268"/>
      <c r="Z24" s="143"/>
      <c r="AA24" s="143" t="s">
        <v>33</v>
      </c>
      <c r="AB24" s="222" t="s">
        <v>231</v>
      </c>
      <c r="AC24" s="143" t="s">
        <v>249</v>
      </c>
      <c r="AD24" s="143" t="s">
        <v>31</v>
      </c>
      <c r="AE24" s="155" t="s">
        <v>86</v>
      </c>
      <c r="AF24" s="222" t="s">
        <v>231</v>
      </c>
      <c r="AG24" s="143" t="s">
        <v>249</v>
      </c>
      <c r="AJ24" s="143"/>
      <c r="AK24" s="143" t="s">
        <v>33</v>
      </c>
      <c r="AL24" s="222" t="s">
        <v>231</v>
      </c>
      <c r="AM24" s="143" t="s">
        <v>249</v>
      </c>
      <c r="AN24" s="143" t="s">
        <v>31</v>
      </c>
      <c r="AO24" s="155" t="s">
        <v>86</v>
      </c>
      <c r="AP24" s="222" t="s">
        <v>231</v>
      </c>
      <c r="AQ24" s="143" t="s">
        <v>249</v>
      </c>
    </row>
    <row r="25" spans="6:43" s="136" customFormat="1" ht="18.75">
      <c r="F25" s="153">
        <v>1</v>
      </c>
      <c r="G25" s="158">
        <v>2</v>
      </c>
      <c r="H25" s="158">
        <v>3</v>
      </c>
      <c r="I25" s="153">
        <v>4</v>
      </c>
      <c r="P25" s="153">
        <v>1</v>
      </c>
      <c r="Q25" s="158">
        <v>2</v>
      </c>
      <c r="R25" s="158">
        <v>3</v>
      </c>
      <c r="S25" s="153">
        <v>4</v>
      </c>
      <c r="T25" s="158">
        <v>5</v>
      </c>
      <c r="U25" s="158">
        <v>6</v>
      </c>
      <c r="V25" s="153">
        <v>7</v>
      </c>
      <c r="W25" s="153">
        <v>8</v>
      </c>
      <c r="Z25" s="153">
        <v>1</v>
      </c>
      <c r="AA25" s="158">
        <v>2</v>
      </c>
      <c r="AB25" s="158">
        <v>3</v>
      </c>
      <c r="AC25" s="153">
        <v>4</v>
      </c>
      <c r="AD25" s="158">
        <v>5</v>
      </c>
      <c r="AE25" s="158">
        <v>6</v>
      </c>
      <c r="AF25" s="153">
        <v>7</v>
      </c>
      <c r="AG25" s="153">
        <v>8</v>
      </c>
      <c r="AJ25" s="153">
        <v>1</v>
      </c>
      <c r="AK25" s="158">
        <v>2</v>
      </c>
      <c r="AL25" s="158">
        <v>3</v>
      </c>
      <c r="AM25" s="153">
        <v>4</v>
      </c>
      <c r="AN25" s="158">
        <v>5</v>
      </c>
      <c r="AO25" s="158">
        <v>6</v>
      </c>
      <c r="AP25" s="153">
        <v>7</v>
      </c>
      <c r="AQ25" s="153">
        <v>8</v>
      </c>
    </row>
    <row r="26" spans="6:43" s="136" customFormat="1" ht="18.75">
      <c r="F26" s="154" t="s">
        <v>246</v>
      </c>
      <c r="G26" s="166">
        <f>F18</f>
        <v>690</v>
      </c>
      <c r="H26" s="166">
        <f>'4. ПП'!I22</f>
        <v>1.04</v>
      </c>
      <c r="I26" s="166">
        <f>G26*H26</f>
        <v>717.6</v>
      </c>
      <c r="P26" s="154" t="s">
        <v>246</v>
      </c>
      <c r="Q26" s="166">
        <f>P18</f>
        <v>690</v>
      </c>
      <c r="R26" s="166">
        <f>'4. ПП'!J22</f>
        <v>1.10552</v>
      </c>
      <c r="S26" s="616">
        <f>Q26*R26</f>
        <v>762.8088</v>
      </c>
      <c r="T26" s="166"/>
      <c r="U26" s="166">
        <f>'4. ПП'!M22</f>
        <v>0</v>
      </c>
      <c r="V26" s="166">
        <f>T26*U26</f>
        <v>0</v>
      </c>
      <c r="W26" s="616">
        <f>U26*V26</f>
        <v>0</v>
      </c>
      <c r="Z26" s="154" t="s">
        <v>251</v>
      </c>
      <c r="AA26" s="166">
        <f>AD17</f>
        <v>2344.2641999999996</v>
      </c>
      <c r="AB26" s="166">
        <f>'4. ПП'!K23</f>
        <v>2931.985011780281</v>
      </c>
      <c r="AC26" s="166">
        <f>AA26*AB26/1000</f>
        <v>6873.347498053091</v>
      </c>
      <c r="AD26" s="166"/>
      <c r="AE26" s="166">
        <f>'4. ПП'!W22</f>
        <v>0</v>
      </c>
      <c r="AF26" s="166">
        <f>AD26*AE26</f>
        <v>0</v>
      </c>
      <c r="AG26" s="616">
        <f>AE26*AF26</f>
        <v>0</v>
      </c>
      <c r="AJ26" s="154" t="s">
        <v>251</v>
      </c>
      <c r="AK26" s="166">
        <f>AN17</f>
        <v>6251.3712</v>
      </c>
      <c r="AL26" s="166">
        <f>'4. ПП'!L23</f>
        <v>3077.867841940524</v>
      </c>
      <c r="AM26" s="166">
        <f>AK26*AL26/1000</f>
        <v>19240.894384513143</v>
      </c>
      <c r="AN26" s="166"/>
      <c r="AO26" s="166"/>
      <c r="AP26" s="166"/>
      <c r="AQ26" s="616">
        <f>AO26*AP26</f>
        <v>0</v>
      </c>
    </row>
    <row r="27" spans="6:43" s="136" customFormat="1" ht="18.75">
      <c r="F27" s="621"/>
      <c r="G27" s="621"/>
      <c r="H27" s="621"/>
      <c r="I27" s="621"/>
      <c r="P27" s="154" t="s">
        <v>247</v>
      </c>
      <c r="Q27" s="166">
        <f>P19</f>
        <v>0</v>
      </c>
      <c r="R27" s="166">
        <v>0</v>
      </c>
      <c r="S27" s="166">
        <f>Q27*R27</f>
        <v>0</v>
      </c>
      <c r="T27" s="166">
        <f>R19</f>
        <v>1213</v>
      </c>
      <c r="U27" s="166">
        <f>'4. ПП'!J14</f>
        <v>192.29</v>
      </c>
      <c r="V27" s="166">
        <f>'4. ПП'!J23</f>
        <v>2798.308761725235</v>
      </c>
      <c r="W27" s="166">
        <f>T27*U27/1000*V27/1000</f>
        <v>652.6992784438725</v>
      </c>
      <c r="Z27" s="154" t="s">
        <v>247</v>
      </c>
      <c r="AA27" s="166"/>
      <c r="AB27" s="166"/>
      <c r="AC27" s="166"/>
      <c r="AD27" s="166">
        <f>AB19</f>
        <v>5232</v>
      </c>
      <c r="AE27" s="166">
        <f>'4. ПП'!K14</f>
        <v>161</v>
      </c>
      <c r="AF27" s="166">
        <f>'4. ПП'!K23</f>
        <v>2931.985011780281</v>
      </c>
      <c r="AG27" s="166">
        <f>AD27*AE27/1000*AF27/1000</f>
        <v>2469.7634386431437</v>
      </c>
      <c r="AJ27" s="154" t="s">
        <v>247</v>
      </c>
      <c r="AK27" s="166"/>
      <c r="AL27" s="166"/>
      <c r="AM27" s="166"/>
      <c r="AN27" s="166">
        <f>AL19</f>
        <v>9888</v>
      </c>
      <c r="AO27" s="166">
        <f>'4. ПП'!L14</f>
        <v>161</v>
      </c>
      <c r="AP27" s="166">
        <f>'4. ПП'!L23</f>
        <v>3077.867841940524</v>
      </c>
      <c r="AQ27" s="166">
        <f>AN27*AO27/1000*AP27/1000</f>
        <v>4899.867112598373</v>
      </c>
    </row>
    <row r="28" spans="16:43" s="136" customFormat="1" ht="18.75">
      <c r="P28" s="618" t="s">
        <v>248</v>
      </c>
      <c r="Q28" s="613"/>
      <c r="R28" s="613"/>
      <c r="S28" s="614"/>
      <c r="T28" s="613"/>
      <c r="U28" s="613"/>
      <c r="V28" s="614"/>
      <c r="W28" s="614">
        <f>S26+W27</f>
        <v>1415.5080784438724</v>
      </c>
      <c r="Z28" s="618" t="s">
        <v>248</v>
      </c>
      <c r="AA28" s="613"/>
      <c r="AB28" s="613"/>
      <c r="AC28" s="614"/>
      <c r="AD28" s="613"/>
      <c r="AE28" s="613"/>
      <c r="AF28" s="614"/>
      <c r="AG28" s="614">
        <f>AC26+AG27</f>
        <v>9343.110936696234</v>
      </c>
      <c r="AJ28" s="618" t="s">
        <v>248</v>
      </c>
      <c r="AK28" s="613"/>
      <c r="AL28" s="613"/>
      <c r="AM28" s="614"/>
      <c r="AN28" s="613"/>
      <c r="AO28" s="613"/>
      <c r="AP28" s="614"/>
      <c r="AQ28" s="614">
        <f>AM26+AQ27</f>
        <v>24140.761497111518</v>
      </c>
    </row>
    <row r="29" s="136" customFormat="1" ht="18.75"/>
    <row r="30" s="136" customFormat="1" ht="18.75"/>
    <row r="31" s="136" customFormat="1" ht="18.75"/>
    <row r="32" s="136" customFormat="1" ht="18.75"/>
    <row r="33" s="136" customFormat="1" ht="18.75"/>
  </sheetData>
  <sheetProtection/>
  <mergeCells count="78">
    <mergeCell ref="T12:U12"/>
    <mergeCell ref="A6:O6"/>
    <mergeCell ref="W1:Y1"/>
    <mergeCell ref="AG1:AI1"/>
    <mergeCell ref="AE2:AI2"/>
    <mergeCell ref="T13:T14"/>
    <mergeCell ref="U13:U14"/>
    <mergeCell ref="N1:O1"/>
    <mergeCell ref="AB12:AC12"/>
    <mergeCell ref="AQ1:AS1"/>
    <mergeCell ref="AO2:AS2"/>
    <mergeCell ref="U2:Y2"/>
    <mergeCell ref="AH11:AH14"/>
    <mergeCell ref="AI11:AI14"/>
    <mergeCell ref="P10:Y10"/>
    <mergeCell ref="P11:V11"/>
    <mergeCell ref="W11:W14"/>
    <mergeCell ref="Z12:AA12"/>
    <mergeCell ref="AC13:AC14"/>
    <mergeCell ref="P12:Q12"/>
    <mergeCell ref="S13:S14"/>
    <mergeCell ref="O11:O14"/>
    <mergeCell ref="Q13:Q14"/>
    <mergeCell ref="Z10:AI10"/>
    <mergeCell ref="Z11:AF11"/>
    <mergeCell ref="F10:O10"/>
    <mergeCell ref="AG11:AG14"/>
    <mergeCell ref="AF12:AF14"/>
    <mergeCell ref="X11:X14"/>
    <mergeCell ref="A7:O7"/>
    <mergeCell ref="AD13:AD14"/>
    <mergeCell ref="AE13:AE14"/>
    <mergeCell ref="AP12:AP14"/>
    <mergeCell ref="R12:S12"/>
    <mergeCell ref="R13:R14"/>
    <mergeCell ref="Y11:Y14"/>
    <mergeCell ref="AN13:AN14"/>
    <mergeCell ref="Z13:Z14"/>
    <mergeCell ref="V12:V14"/>
    <mergeCell ref="A20:E20"/>
    <mergeCell ref="A10:A14"/>
    <mergeCell ref="A16:C16"/>
    <mergeCell ref="F11:L11"/>
    <mergeCell ref="M11:M14"/>
    <mergeCell ref="N11:N14"/>
    <mergeCell ref="E10:E14"/>
    <mergeCell ref="J13:J14"/>
    <mergeCell ref="K13:K14"/>
    <mergeCell ref="AO13:AO14"/>
    <mergeCell ref="AJ10:AS10"/>
    <mergeCell ref="AJ11:AP11"/>
    <mergeCell ref="AQ11:AQ14"/>
    <mergeCell ref="AR11:AR14"/>
    <mergeCell ref="AS11:AS14"/>
    <mergeCell ref="AJ12:AK12"/>
    <mergeCell ref="AL12:AM12"/>
    <mergeCell ref="AN12:AO12"/>
    <mergeCell ref="AJ13:AJ14"/>
    <mergeCell ref="AK13:AK14"/>
    <mergeCell ref="AL13:AL14"/>
    <mergeCell ref="AM13:AM14"/>
    <mergeCell ref="G13:G14"/>
    <mergeCell ref="L12:L14"/>
    <mergeCell ref="F13:F14"/>
    <mergeCell ref="F12:G12"/>
    <mergeCell ref="AD12:AE12"/>
    <mergeCell ref="AA13:AA14"/>
    <mergeCell ref="AB13:AB14"/>
    <mergeCell ref="K2:O2"/>
    <mergeCell ref="G8:H8"/>
    <mergeCell ref="B10:B14"/>
    <mergeCell ref="C10:C14"/>
    <mergeCell ref="D10:D14"/>
    <mergeCell ref="P13:P14"/>
    <mergeCell ref="H12:I12"/>
    <mergeCell ref="H13:H14"/>
    <mergeCell ref="I13:I14"/>
    <mergeCell ref="J12:K12"/>
  </mergeCells>
  <printOptions horizontalCentered="1"/>
  <pageMargins left="0.3937007874015748" right="0.3937007874015748" top="0.984251968503937" bottom="0.3937007874015748" header="0" footer="0"/>
  <pageSetup fitToWidth="5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="60" zoomScaleNormal="60" zoomScalePageLayoutView="0" workbookViewId="0" topLeftCell="B1">
      <selection activeCell="J18" sqref="J18"/>
    </sheetView>
  </sheetViews>
  <sheetFormatPr defaultColWidth="9.140625" defaultRowHeight="15"/>
  <cols>
    <col min="1" max="1" width="9.7109375" style="15" customWidth="1"/>
    <col min="2" max="2" width="29.421875" style="15" customWidth="1"/>
    <col min="3" max="3" width="41.57421875" style="15" customWidth="1"/>
    <col min="4" max="4" width="16.57421875" style="15" customWidth="1"/>
    <col min="5" max="5" width="15.140625" style="15" customWidth="1"/>
    <col min="6" max="6" width="17.7109375" style="15" customWidth="1"/>
    <col min="7" max="9" width="15.7109375" style="15" customWidth="1"/>
    <col min="10" max="10" width="18.28125" style="15" customWidth="1"/>
    <col min="11" max="11" width="15.7109375" style="15" customWidth="1"/>
    <col min="12" max="12" width="28.421875" style="15" customWidth="1"/>
    <col min="13" max="13" width="18.8515625" style="15" customWidth="1"/>
    <col min="14" max="14" width="18.7109375" style="15" customWidth="1"/>
    <col min="15" max="15" width="17.28125" style="15" customWidth="1"/>
    <col min="16" max="16" width="17.7109375" style="15" customWidth="1"/>
    <col min="17" max="17" width="17.57421875" style="15" customWidth="1"/>
    <col min="18" max="21" width="15.7109375" style="15" customWidth="1"/>
    <col min="22" max="22" width="26.00390625" style="15" customWidth="1"/>
    <col min="23" max="23" width="18.8515625" style="15" customWidth="1"/>
    <col min="24" max="24" width="18.7109375" style="15" customWidth="1"/>
    <col min="25" max="25" width="17.28125" style="15" customWidth="1"/>
    <col min="26" max="26" width="17.7109375" style="15" customWidth="1"/>
    <col min="27" max="27" width="17.421875" style="15" customWidth="1"/>
    <col min="28" max="31" width="15.7109375" style="15" customWidth="1"/>
    <col min="32" max="32" width="28.421875" style="15" customWidth="1"/>
    <col min="33" max="33" width="18.8515625" style="15" customWidth="1"/>
    <col min="34" max="34" width="18.7109375" style="15" customWidth="1"/>
    <col min="35" max="35" width="27.421875" style="15" customWidth="1"/>
    <col min="36" max="36" width="17.7109375" style="15" bestFit="1" customWidth="1"/>
    <col min="37" max="37" width="17.57421875" style="15" customWidth="1"/>
    <col min="38" max="41" width="15.7109375" style="15" customWidth="1"/>
    <col min="42" max="42" width="20.8515625" style="15" customWidth="1"/>
    <col min="43" max="43" width="18.8515625" style="15" customWidth="1"/>
    <col min="44" max="44" width="18.7109375" style="15" customWidth="1"/>
    <col min="45" max="45" width="15.28125" style="15" customWidth="1"/>
    <col min="46" max="46" width="16.57421875" style="15" customWidth="1"/>
    <col min="47" max="47" width="23.140625" style="15" customWidth="1"/>
    <col min="48" max="16384" width="9.140625" style="15" customWidth="1"/>
  </cols>
  <sheetData>
    <row r="1" spans="7:45" ht="18.75" customHeight="1">
      <c r="G1" s="17"/>
      <c r="H1" s="17"/>
      <c r="I1" s="17"/>
      <c r="J1" s="17"/>
      <c r="K1" s="17"/>
      <c r="L1" s="17"/>
      <c r="M1" s="17"/>
      <c r="N1" s="553" t="s">
        <v>236</v>
      </c>
      <c r="O1" s="553"/>
      <c r="T1" s="64"/>
      <c r="U1" s="64"/>
      <c r="V1" s="64"/>
      <c r="W1" s="553" t="s">
        <v>239</v>
      </c>
      <c r="X1" s="553"/>
      <c r="Y1" s="553"/>
      <c r="AD1" s="64"/>
      <c r="AE1" s="64"/>
      <c r="AF1" s="64"/>
      <c r="AG1" s="553" t="s">
        <v>239</v>
      </c>
      <c r="AH1" s="553"/>
      <c r="AI1" s="553"/>
      <c r="AN1" s="64"/>
      <c r="AO1" s="64"/>
      <c r="AP1" s="64"/>
      <c r="AQ1" s="553" t="s">
        <v>239</v>
      </c>
      <c r="AR1" s="553"/>
      <c r="AS1" s="553"/>
    </row>
    <row r="2" spans="10:45" ht="18.75">
      <c r="J2" s="3" t="s">
        <v>1</v>
      </c>
      <c r="K2" s="541" t="str">
        <f>'1. Паспорт'!F2</f>
        <v>филиала "Верхнетагильская ГРЭС" ОАО "ИНТЕР РАО - Электрогенерация"</v>
      </c>
      <c r="L2" s="541"/>
      <c r="M2" s="541"/>
      <c r="N2" s="541"/>
      <c r="O2" s="541"/>
      <c r="T2" s="3" t="s">
        <v>1</v>
      </c>
      <c r="U2" s="541" t="str">
        <f>K2</f>
        <v>филиала "Верхнетагильская ГРЭС" ОАО "ИНТЕР РАО - Электрогенерация"</v>
      </c>
      <c r="V2" s="541"/>
      <c r="W2" s="541"/>
      <c r="X2" s="541"/>
      <c r="Y2" s="541"/>
      <c r="AD2" s="3" t="s">
        <v>1</v>
      </c>
      <c r="AE2" s="541" t="str">
        <f>U2</f>
        <v>филиала "Верхнетагильская ГРЭС" ОАО "ИНТЕР РАО - Электрогенерация"</v>
      </c>
      <c r="AF2" s="541"/>
      <c r="AG2" s="541"/>
      <c r="AH2" s="541"/>
      <c r="AI2" s="541"/>
      <c r="AN2" s="3" t="s">
        <v>1</v>
      </c>
      <c r="AO2" s="541" t="str">
        <f>AE2</f>
        <v>филиала "Верхнетагильская ГРЭС" ОАО "ИНТЕР РАО - Электрогенерация"</v>
      </c>
      <c r="AP2" s="541"/>
      <c r="AQ2" s="541"/>
      <c r="AR2" s="541"/>
      <c r="AS2" s="541"/>
    </row>
    <row r="3" spans="7:45" ht="18.75">
      <c r="G3" s="17"/>
      <c r="H3" s="17"/>
      <c r="I3" s="17"/>
      <c r="J3" s="17"/>
      <c r="K3" s="17"/>
      <c r="L3" s="17"/>
      <c r="M3" s="3" t="s">
        <v>2</v>
      </c>
      <c r="N3" s="14" t="str">
        <f>'1. Паспорт'!P2</f>
        <v>2014-2017</v>
      </c>
      <c r="O3" s="4" t="s">
        <v>4</v>
      </c>
      <c r="T3" s="64"/>
      <c r="U3" s="64"/>
      <c r="V3" s="64"/>
      <c r="W3" s="3" t="s">
        <v>2</v>
      </c>
      <c r="X3" s="14" t="str">
        <f>N3</f>
        <v>2014-2017</v>
      </c>
      <c r="Y3" s="4" t="s">
        <v>4</v>
      </c>
      <c r="AD3" s="64"/>
      <c r="AE3" s="64"/>
      <c r="AF3" s="64"/>
      <c r="AG3" s="3" t="s">
        <v>2</v>
      </c>
      <c r="AH3" s="14" t="str">
        <f>X3</f>
        <v>2014-2017</v>
      </c>
      <c r="AI3" s="4" t="s">
        <v>4</v>
      </c>
      <c r="AN3" s="64"/>
      <c r="AO3" s="64"/>
      <c r="AP3" s="64"/>
      <c r="AQ3" s="3" t="s">
        <v>2</v>
      </c>
      <c r="AR3" s="14" t="str">
        <f>AH3</f>
        <v>2014-2017</v>
      </c>
      <c r="AS3" s="4" t="s">
        <v>4</v>
      </c>
    </row>
    <row r="6" spans="1:31" s="259" customFormat="1" ht="18.75">
      <c r="A6" s="609" t="s">
        <v>50</v>
      </c>
      <c r="B6" s="609"/>
      <c r="C6" s="609"/>
      <c r="D6" s="609"/>
      <c r="E6" s="609"/>
      <c r="F6" s="609"/>
      <c r="G6" s="609"/>
      <c r="H6" s="609"/>
      <c r="I6" s="609"/>
      <c r="J6" s="609"/>
      <c r="K6" s="609"/>
      <c r="L6" s="609"/>
      <c r="M6" s="609"/>
      <c r="N6" s="609"/>
      <c r="O6" s="609"/>
      <c r="P6" s="257"/>
      <c r="Q6" s="257"/>
      <c r="R6" s="257"/>
      <c r="S6" s="257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</row>
    <row r="7" spans="1:31" s="259" customFormat="1" ht="18.75">
      <c r="A7" s="574" t="str">
        <f>K2</f>
        <v>филиала "Верхнетагильская ГРЭС" ОАО "ИНТЕР РАО - Электрогенерация"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261"/>
      <c r="Q7" s="261"/>
      <c r="R7" s="261"/>
      <c r="S7" s="261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</row>
    <row r="8" spans="1:31" s="259" customFormat="1" ht="18.75">
      <c r="A8" s="260"/>
      <c r="B8" s="260"/>
      <c r="C8" s="262"/>
      <c r="D8" s="263"/>
      <c r="E8" s="263"/>
      <c r="F8" s="263" t="s">
        <v>2</v>
      </c>
      <c r="G8" s="610" t="str">
        <f>N3</f>
        <v>2014-2017</v>
      </c>
      <c r="H8" s="610"/>
      <c r="I8" s="266" t="s">
        <v>233</v>
      </c>
      <c r="J8" s="262"/>
      <c r="K8" s="262"/>
      <c r="L8" s="262"/>
      <c r="M8" s="262"/>
      <c r="N8" s="261"/>
      <c r="O8" s="261"/>
      <c r="P8" s="262"/>
      <c r="Q8" s="265"/>
      <c r="R8" s="265"/>
      <c r="S8" s="265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</row>
    <row r="9" ht="15.75" thickBot="1"/>
    <row r="10" spans="1:45" ht="18.75">
      <c r="A10" s="594" t="s">
        <v>5</v>
      </c>
      <c r="B10" s="575" t="s">
        <v>6</v>
      </c>
      <c r="C10" s="575" t="s">
        <v>7</v>
      </c>
      <c r="D10" s="575" t="s">
        <v>8</v>
      </c>
      <c r="E10" s="597" t="s">
        <v>9</v>
      </c>
      <c r="F10" s="603">
        <v>2014</v>
      </c>
      <c r="G10" s="604"/>
      <c r="H10" s="604"/>
      <c r="I10" s="604"/>
      <c r="J10" s="604"/>
      <c r="K10" s="604"/>
      <c r="L10" s="604"/>
      <c r="M10" s="604"/>
      <c r="N10" s="604"/>
      <c r="O10" s="605"/>
      <c r="P10" s="606">
        <f>F10+1</f>
        <v>2015</v>
      </c>
      <c r="Q10" s="607"/>
      <c r="R10" s="607"/>
      <c r="S10" s="607"/>
      <c r="T10" s="607"/>
      <c r="U10" s="607"/>
      <c r="V10" s="607"/>
      <c r="W10" s="607"/>
      <c r="X10" s="607"/>
      <c r="Y10" s="608"/>
      <c r="Z10" s="600">
        <f>P10+1</f>
        <v>2016</v>
      </c>
      <c r="AA10" s="601"/>
      <c r="AB10" s="601"/>
      <c r="AC10" s="601"/>
      <c r="AD10" s="601"/>
      <c r="AE10" s="601"/>
      <c r="AF10" s="601"/>
      <c r="AG10" s="601"/>
      <c r="AH10" s="601"/>
      <c r="AI10" s="602"/>
      <c r="AJ10" s="585">
        <f>Z10+1</f>
        <v>2017</v>
      </c>
      <c r="AK10" s="586"/>
      <c r="AL10" s="586"/>
      <c r="AM10" s="586"/>
      <c r="AN10" s="586"/>
      <c r="AO10" s="586"/>
      <c r="AP10" s="586"/>
      <c r="AQ10" s="586"/>
      <c r="AR10" s="586"/>
      <c r="AS10" s="587"/>
    </row>
    <row r="11" spans="1:45" ht="18.75" customHeight="1">
      <c r="A11" s="577"/>
      <c r="B11" s="576"/>
      <c r="C11" s="576"/>
      <c r="D11" s="576"/>
      <c r="E11" s="598"/>
      <c r="F11" s="588" t="s">
        <v>10</v>
      </c>
      <c r="G11" s="589"/>
      <c r="H11" s="589"/>
      <c r="I11" s="589"/>
      <c r="J11" s="589"/>
      <c r="K11" s="589"/>
      <c r="L11" s="589"/>
      <c r="M11" s="589" t="s">
        <v>11</v>
      </c>
      <c r="N11" s="589" t="s">
        <v>12</v>
      </c>
      <c r="O11" s="590" t="s">
        <v>13</v>
      </c>
      <c r="P11" s="588" t="s">
        <v>10</v>
      </c>
      <c r="Q11" s="589"/>
      <c r="R11" s="589"/>
      <c r="S11" s="589"/>
      <c r="T11" s="589"/>
      <c r="U11" s="589"/>
      <c r="V11" s="589"/>
      <c r="W11" s="589" t="s">
        <v>11</v>
      </c>
      <c r="X11" s="589" t="s">
        <v>12</v>
      </c>
      <c r="Y11" s="590" t="s">
        <v>13</v>
      </c>
      <c r="Z11" s="588" t="s">
        <v>10</v>
      </c>
      <c r="AA11" s="589"/>
      <c r="AB11" s="589"/>
      <c r="AC11" s="589"/>
      <c r="AD11" s="589"/>
      <c r="AE11" s="589"/>
      <c r="AF11" s="589"/>
      <c r="AG11" s="589" t="s">
        <v>11</v>
      </c>
      <c r="AH11" s="589" t="s">
        <v>12</v>
      </c>
      <c r="AI11" s="590" t="s">
        <v>13</v>
      </c>
      <c r="AJ11" s="588" t="s">
        <v>10</v>
      </c>
      <c r="AK11" s="589"/>
      <c r="AL11" s="589"/>
      <c r="AM11" s="589"/>
      <c r="AN11" s="589"/>
      <c r="AO11" s="589"/>
      <c r="AP11" s="589"/>
      <c r="AQ11" s="589" t="s">
        <v>11</v>
      </c>
      <c r="AR11" s="589" t="s">
        <v>12</v>
      </c>
      <c r="AS11" s="590" t="s">
        <v>13</v>
      </c>
    </row>
    <row r="12" spans="1:45" ht="40.5" customHeight="1">
      <c r="A12" s="577"/>
      <c r="B12" s="576"/>
      <c r="C12" s="576"/>
      <c r="D12" s="576"/>
      <c r="E12" s="598"/>
      <c r="F12" s="577" t="s">
        <v>14</v>
      </c>
      <c r="G12" s="576"/>
      <c r="H12" s="578" t="s">
        <v>30</v>
      </c>
      <c r="I12" s="579"/>
      <c r="J12" s="611" t="s">
        <v>34</v>
      </c>
      <c r="K12" s="612"/>
      <c r="L12" s="582" t="s">
        <v>36</v>
      </c>
      <c r="M12" s="589"/>
      <c r="N12" s="589"/>
      <c r="O12" s="590"/>
      <c r="P12" s="577" t="s">
        <v>14</v>
      </c>
      <c r="Q12" s="576"/>
      <c r="R12" s="578" t="s">
        <v>30</v>
      </c>
      <c r="S12" s="579"/>
      <c r="T12" s="611" t="s">
        <v>34</v>
      </c>
      <c r="U12" s="612"/>
      <c r="V12" s="582" t="s">
        <v>36</v>
      </c>
      <c r="W12" s="589"/>
      <c r="X12" s="589"/>
      <c r="Y12" s="590"/>
      <c r="Z12" s="577" t="s">
        <v>14</v>
      </c>
      <c r="AA12" s="576"/>
      <c r="AB12" s="578" t="s">
        <v>30</v>
      </c>
      <c r="AC12" s="579"/>
      <c r="AD12" s="611" t="s">
        <v>34</v>
      </c>
      <c r="AE12" s="612"/>
      <c r="AF12" s="582" t="s">
        <v>36</v>
      </c>
      <c r="AG12" s="589"/>
      <c r="AH12" s="589"/>
      <c r="AI12" s="590"/>
      <c r="AJ12" s="577" t="s">
        <v>14</v>
      </c>
      <c r="AK12" s="576"/>
      <c r="AL12" s="578" t="s">
        <v>30</v>
      </c>
      <c r="AM12" s="579"/>
      <c r="AN12" s="611" t="s">
        <v>34</v>
      </c>
      <c r="AO12" s="612"/>
      <c r="AP12" s="582" t="s">
        <v>36</v>
      </c>
      <c r="AQ12" s="589"/>
      <c r="AR12" s="589"/>
      <c r="AS12" s="590"/>
    </row>
    <row r="13" spans="1:45" ht="15" customHeight="1">
      <c r="A13" s="577"/>
      <c r="B13" s="576"/>
      <c r="C13" s="576"/>
      <c r="D13" s="576"/>
      <c r="E13" s="598"/>
      <c r="F13" s="577" t="s">
        <v>15</v>
      </c>
      <c r="G13" s="576" t="s">
        <v>35</v>
      </c>
      <c r="H13" s="580" t="s">
        <v>31</v>
      </c>
      <c r="I13" s="576" t="s">
        <v>35</v>
      </c>
      <c r="J13" s="576" t="s">
        <v>16</v>
      </c>
      <c r="K13" s="576" t="s">
        <v>35</v>
      </c>
      <c r="L13" s="583"/>
      <c r="M13" s="589"/>
      <c r="N13" s="589"/>
      <c r="O13" s="590"/>
      <c r="P13" s="577" t="s">
        <v>15</v>
      </c>
      <c r="Q13" s="576" t="s">
        <v>35</v>
      </c>
      <c r="R13" s="580" t="s">
        <v>31</v>
      </c>
      <c r="S13" s="576" t="s">
        <v>35</v>
      </c>
      <c r="T13" s="576" t="s">
        <v>16</v>
      </c>
      <c r="U13" s="576" t="s">
        <v>35</v>
      </c>
      <c r="V13" s="583"/>
      <c r="W13" s="589"/>
      <c r="X13" s="589"/>
      <c r="Y13" s="590"/>
      <c r="Z13" s="577" t="s">
        <v>15</v>
      </c>
      <c r="AA13" s="576" t="s">
        <v>35</v>
      </c>
      <c r="AB13" s="580" t="s">
        <v>31</v>
      </c>
      <c r="AC13" s="576" t="s">
        <v>35</v>
      </c>
      <c r="AD13" s="576" t="s">
        <v>16</v>
      </c>
      <c r="AE13" s="576" t="s">
        <v>35</v>
      </c>
      <c r="AF13" s="583"/>
      <c r="AG13" s="589"/>
      <c r="AH13" s="589"/>
      <c r="AI13" s="590"/>
      <c r="AJ13" s="577" t="s">
        <v>15</v>
      </c>
      <c r="AK13" s="576" t="s">
        <v>35</v>
      </c>
      <c r="AL13" s="580" t="s">
        <v>31</v>
      </c>
      <c r="AM13" s="576" t="s">
        <v>35</v>
      </c>
      <c r="AN13" s="576" t="s">
        <v>16</v>
      </c>
      <c r="AO13" s="576" t="s">
        <v>35</v>
      </c>
      <c r="AP13" s="583"/>
      <c r="AQ13" s="589"/>
      <c r="AR13" s="589"/>
      <c r="AS13" s="590"/>
    </row>
    <row r="14" spans="1:45" ht="18.75" customHeight="1">
      <c r="A14" s="577"/>
      <c r="B14" s="576"/>
      <c r="C14" s="576"/>
      <c r="D14" s="576"/>
      <c r="E14" s="599"/>
      <c r="F14" s="577"/>
      <c r="G14" s="576"/>
      <c r="H14" s="581"/>
      <c r="I14" s="576"/>
      <c r="J14" s="576"/>
      <c r="K14" s="576"/>
      <c r="L14" s="584"/>
      <c r="M14" s="589"/>
      <c r="N14" s="589"/>
      <c r="O14" s="590"/>
      <c r="P14" s="577"/>
      <c r="Q14" s="576"/>
      <c r="R14" s="581"/>
      <c r="S14" s="576"/>
      <c r="T14" s="576"/>
      <c r="U14" s="576"/>
      <c r="V14" s="584"/>
      <c r="W14" s="589"/>
      <c r="X14" s="589"/>
      <c r="Y14" s="590"/>
      <c r="Z14" s="577"/>
      <c r="AA14" s="576"/>
      <c r="AB14" s="581"/>
      <c r="AC14" s="576"/>
      <c r="AD14" s="576"/>
      <c r="AE14" s="576"/>
      <c r="AF14" s="584"/>
      <c r="AG14" s="589"/>
      <c r="AH14" s="589"/>
      <c r="AI14" s="590"/>
      <c r="AJ14" s="577"/>
      <c r="AK14" s="576"/>
      <c r="AL14" s="581"/>
      <c r="AM14" s="576"/>
      <c r="AN14" s="576"/>
      <c r="AO14" s="576"/>
      <c r="AP14" s="584"/>
      <c r="AQ14" s="589"/>
      <c r="AR14" s="589"/>
      <c r="AS14" s="590"/>
    </row>
    <row r="15" spans="1:45" ht="19.5" thickBot="1">
      <c r="A15" s="8">
        <v>1</v>
      </c>
      <c r="B15" s="9">
        <v>2</v>
      </c>
      <c r="C15" s="9">
        <v>3</v>
      </c>
      <c r="D15" s="9">
        <v>4</v>
      </c>
      <c r="E15" s="10">
        <v>5</v>
      </c>
      <c r="F15" s="8">
        <v>6</v>
      </c>
      <c r="G15" s="9">
        <v>7</v>
      </c>
      <c r="H15" s="9"/>
      <c r="I15" s="9"/>
      <c r="J15" s="9"/>
      <c r="K15" s="9"/>
      <c r="L15" s="9">
        <v>10</v>
      </c>
      <c r="M15" s="9">
        <v>11</v>
      </c>
      <c r="N15" s="9">
        <v>12</v>
      </c>
      <c r="O15" s="30">
        <v>13</v>
      </c>
      <c r="P15" s="8">
        <v>6</v>
      </c>
      <c r="Q15" s="9">
        <v>7</v>
      </c>
      <c r="R15" s="9"/>
      <c r="S15" s="9"/>
      <c r="T15" s="9"/>
      <c r="U15" s="9"/>
      <c r="V15" s="9">
        <v>10</v>
      </c>
      <c r="W15" s="9">
        <v>11</v>
      </c>
      <c r="X15" s="9">
        <v>12</v>
      </c>
      <c r="Y15" s="30">
        <v>13</v>
      </c>
      <c r="Z15" s="8">
        <v>6</v>
      </c>
      <c r="AA15" s="9">
        <v>7</v>
      </c>
      <c r="AB15" s="9"/>
      <c r="AC15" s="9"/>
      <c r="AD15" s="9"/>
      <c r="AE15" s="9"/>
      <c r="AF15" s="9">
        <v>10</v>
      </c>
      <c r="AG15" s="9">
        <v>11</v>
      </c>
      <c r="AH15" s="9">
        <v>12</v>
      </c>
      <c r="AI15" s="30">
        <v>13</v>
      </c>
      <c r="AJ15" s="8">
        <v>6</v>
      </c>
      <c r="AK15" s="9">
        <v>7</v>
      </c>
      <c r="AL15" s="9"/>
      <c r="AM15" s="9"/>
      <c r="AN15" s="9"/>
      <c r="AO15" s="9"/>
      <c r="AP15" s="9">
        <v>10</v>
      </c>
      <c r="AQ15" s="9">
        <v>11</v>
      </c>
      <c r="AR15" s="9">
        <v>12</v>
      </c>
      <c r="AS15" s="30">
        <v>13</v>
      </c>
    </row>
    <row r="16" spans="1:45" ht="18.75">
      <c r="A16" s="595"/>
      <c r="B16" s="596"/>
      <c r="C16" s="596"/>
      <c r="D16" s="7"/>
      <c r="E16" s="11"/>
      <c r="F16" s="32"/>
      <c r="G16" s="27"/>
      <c r="H16" s="27"/>
      <c r="I16" s="27"/>
      <c r="J16" s="27"/>
      <c r="K16" s="27"/>
      <c r="L16" s="27"/>
      <c r="M16" s="27"/>
      <c r="N16" s="28"/>
      <c r="O16" s="29"/>
      <c r="P16" s="32"/>
      <c r="Q16" s="27"/>
      <c r="R16" s="27"/>
      <c r="S16" s="27"/>
      <c r="T16" s="27"/>
      <c r="U16" s="27"/>
      <c r="V16" s="27"/>
      <c r="W16" s="27"/>
      <c r="X16" s="28"/>
      <c r="Y16" s="29"/>
      <c r="Z16" s="32"/>
      <c r="AA16" s="27"/>
      <c r="AB16" s="27"/>
      <c r="AC16" s="27"/>
      <c r="AD16" s="27"/>
      <c r="AE16" s="27"/>
      <c r="AF16" s="27"/>
      <c r="AG16" s="27"/>
      <c r="AH16" s="28"/>
      <c r="AI16" s="29"/>
      <c r="AJ16" s="32"/>
      <c r="AK16" s="27"/>
      <c r="AL16" s="27"/>
      <c r="AM16" s="27"/>
      <c r="AN16" s="27"/>
      <c r="AO16" s="27"/>
      <c r="AP16" s="27"/>
      <c r="AQ16" s="27"/>
      <c r="AR16" s="28"/>
      <c r="AS16" s="29"/>
    </row>
    <row r="17" spans="1:45" ht="78.75">
      <c r="A17" s="5" t="s">
        <v>17</v>
      </c>
      <c r="B17" s="46" t="s">
        <v>22</v>
      </c>
      <c r="C17" s="45" t="s">
        <v>23</v>
      </c>
      <c r="D17" s="47">
        <v>2015</v>
      </c>
      <c r="E17" s="31" t="s">
        <v>24</v>
      </c>
      <c r="F17" s="33"/>
      <c r="G17" s="16"/>
      <c r="H17" s="16"/>
      <c r="I17" s="16"/>
      <c r="J17" s="16"/>
      <c r="K17" s="16"/>
      <c r="L17" s="16"/>
      <c r="M17" s="50"/>
      <c r="N17" s="23" t="s">
        <v>20</v>
      </c>
      <c r="O17" s="24"/>
      <c r="P17" s="33">
        <f>54/12*3</f>
        <v>13.5</v>
      </c>
      <c r="Q17" s="16">
        <f>P17*'4. ПП'!J47</f>
        <v>57.078809529955464</v>
      </c>
      <c r="R17" s="16"/>
      <c r="S17" s="16"/>
      <c r="T17" s="16"/>
      <c r="U17" s="16"/>
      <c r="V17" s="19">
        <f>Q17+S17+U17</f>
        <v>57.078809529955464</v>
      </c>
      <c r="W17" s="22">
        <v>1522</v>
      </c>
      <c r="X17" s="23" t="str">
        <f aca="true" t="shared" si="0" ref="X17:X22">N17</f>
        <v>амортизация</v>
      </c>
      <c r="Y17" s="24"/>
      <c r="Z17" s="33">
        <v>54</v>
      </c>
      <c r="AA17" s="16">
        <f>Z17*'4. ПП'!K47</f>
        <v>243.61235907384992</v>
      </c>
      <c r="AB17" s="16"/>
      <c r="AC17" s="16"/>
      <c r="AD17" s="16"/>
      <c r="AE17" s="16"/>
      <c r="AF17" s="19">
        <f>AA17+AC17+AE17</f>
        <v>243.61235907384992</v>
      </c>
      <c r="AG17" s="48"/>
      <c r="AH17" s="23" t="str">
        <f aca="true" t="shared" si="1" ref="AH17:AH22">X17</f>
        <v>амортизация</v>
      </c>
      <c r="AI17" s="24"/>
      <c r="AJ17" s="33">
        <f>Z17</f>
        <v>54</v>
      </c>
      <c r="AK17" s="16">
        <f>AJ17*'4. ПП'!L47</f>
        <v>255.54936466846854</v>
      </c>
      <c r="AL17" s="16"/>
      <c r="AM17" s="16"/>
      <c r="AN17" s="16"/>
      <c r="AO17" s="16"/>
      <c r="AP17" s="19">
        <f aca="true" t="shared" si="2" ref="AP17:AP22">AK17+AM17+AO17</f>
        <v>255.54936466846854</v>
      </c>
      <c r="AQ17" s="49"/>
      <c r="AR17" s="23" t="str">
        <f aca="true" t="shared" si="3" ref="AR17:AR22">AH17</f>
        <v>амортизация</v>
      </c>
      <c r="AS17" s="24"/>
    </row>
    <row r="18" spans="1:45" ht="94.5">
      <c r="A18" s="6" t="s">
        <v>21</v>
      </c>
      <c r="B18" s="18" t="s">
        <v>26</v>
      </c>
      <c r="C18" s="18" t="s">
        <v>53</v>
      </c>
      <c r="D18" s="25">
        <v>2017</v>
      </c>
      <c r="E18" s="21" t="s">
        <v>24</v>
      </c>
      <c r="F18" s="34"/>
      <c r="G18" s="19"/>
      <c r="H18" s="19"/>
      <c r="I18" s="19"/>
      <c r="J18" s="19"/>
      <c r="K18" s="19"/>
      <c r="L18" s="19"/>
      <c r="M18" s="20"/>
      <c r="N18" s="35" t="s">
        <v>20</v>
      </c>
      <c r="O18" s="26"/>
      <c r="P18" s="34"/>
      <c r="Q18" s="19"/>
      <c r="R18" s="19"/>
      <c r="S18" s="19"/>
      <c r="T18" s="19"/>
      <c r="U18" s="19"/>
      <c r="V18" s="19"/>
      <c r="W18" s="20"/>
      <c r="X18" s="35" t="str">
        <f t="shared" si="0"/>
        <v>амортизация</v>
      </c>
      <c r="Y18" s="26"/>
      <c r="Z18" s="34"/>
      <c r="AA18" s="19"/>
      <c r="AB18" s="19"/>
      <c r="AC18" s="19"/>
      <c r="AD18" s="19"/>
      <c r="AE18" s="19"/>
      <c r="AF18" s="19"/>
      <c r="AG18" s="20"/>
      <c r="AH18" s="35" t="str">
        <f t="shared" si="1"/>
        <v>амортизация</v>
      </c>
      <c r="AI18" s="26"/>
      <c r="AJ18" s="34"/>
      <c r="AK18" s="19"/>
      <c r="AL18" s="19">
        <f>1174/12*3</f>
        <v>293.5</v>
      </c>
      <c r="AM18" s="19">
        <f>AL18*'4. ПП'!L14/1000*'4. ПП'!L23/1000</f>
        <v>145.4400280691366</v>
      </c>
      <c r="AN18" s="19">
        <f>9778/12*3</f>
        <v>2444.5</v>
      </c>
      <c r="AO18" s="19">
        <f>AN18*'4. ПП'!L48</f>
        <v>28747.32</v>
      </c>
      <c r="AP18" s="19">
        <f t="shared" si="2"/>
        <v>28892.760028069137</v>
      </c>
      <c r="AQ18" s="20">
        <v>10778</v>
      </c>
      <c r="AR18" s="35" t="str">
        <f t="shared" si="3"/>
        <v>амортизация</v>
      </c>
      <c r="AS18" s="26"/>
    </row>
    <row r="19" spans="1:45" ht="63">
      <c r="A19" s="6" t="s">
        <v>25</v>
      </c>
      <c r="B19" s="43" t="s">
        <v>18</v>
      </c>
      <c r="C19" s="18" t="s">
        <v>54</v>
      </c>
      <c r="D19" s="25" t="s">
        <v>3</v>
      </c>
      <c r="E19" s="21" t="s">
        <v>46</v>
      </c>
      <c r="F19" s="34"/>
      <c r="G19" s="19"/>
      <c r="H19" s="19"/>
      <c r="I19" s="19"/>
      <c r="J19" s="19"/>
      <c r="K19" s="19"/>
      <c r="L19" s="19"/>
      <c r="M19" s="20"/>
      <c r="N19" s="35" t="s">
        <v>51</v>
      </c>
      <c r="O19" s="26"/>
      <c r="P19" s="34">
        <v>206.077</v>
      </c>
      <c r="Q19" s="19">
        <f>P19*'4. ПП'!J47</f>
        <v>871.3059134447876</v>
      </c>
      <c r="R19" s="19"/>
      <c r="S19" s="19"/>
      <c r="T19" s="19"/>
      <c r="U19" s="19"/>
      <c r="V19" s="19">
        <f>Q19+S19+U19</f>
        <v>871.3059134447876</v>
      </c>
      <c r="W19" s="20"/>
      <c r="X19" s="35" t="str">
        <f t="shared" si="0"/>
        <v>не требуется</v>
      </c>
      <c r="Y19" s="26"/>
      <c r="Z19" s="34">
        <f>P19</f>
        <v>206.077</v>
      </c>
      <c r="AA19" s="19">
        <f>Z19*'4. ПП'!K47</f>
        <v>929.6834096455883</v>
      </c>
      <c r="AB19" s="19"/>
      <c r="AC19" s="19"/>
      <c r="AD19" s="19"/>
      <c r="AE19" s="19"/>
      <c r="AF19" s="19">
        <f>AA19+AC19+AE19</f>
        <v>929.6834096455883</v>
      </c>
      <c r="AG19" s="20"/>
      <c r="AH19" s="35" t="str">
        <f t="shared" si="1"/>
        <v>не требуется</v>
      </c>
      <c r="AI19" s="26"/>
      <c r="AJ19" s="34">
        <f>Z19</f>
        <v>206.077</v>
      </c>
      <c r="AK19" s="19">
        <f>AJ19*'4. ПП'!L47</f>
        <v>975.237896718222</v>
      </c>
      <c r="AL19" s="19"/>
      <c r="AM19" s="19"/>
      <c r="AN19" s="19"/>
      <c r="AO19" s="19"/>
      <c r="AP19" s="19">
        <f t="shared" si="2"/>
        <v>975.237896718222</v>
      </c>
      <c r="AQ19" s="20"/>
      <c r="AR19" s="35" t="str">
        <f t="shared" si="3"/>
        <v>не требуется</v>
      </c>
      <c r="AS19" s="26"/>
    </row>
    <row r="20" spans="1:45" ht="63">
      <c r="A20" s="6" t="s">
        <v>27</v>
      </c>
      <c r="B20" s="18" t="s">
        <v>56</v>
      </c>
      <c r="C20" s="18" t="s">
        <v>55</v>
      </c>
      <c r="D20" s="25">
        <v>2014</v>
      </c>
      <c r="E20" s="21" t="s">
        <v>24</v>
      </c>
      <c r="F20" s="34"/>
      <c r="G20" s="19"/>
      <c r="H20" s="19">
        <f>809/8*3</f>
        <v>303.375</v>
      </c>
      <c r="I20" s="19">
        <f>H20*'4. ПП'!I14/1000*'4. ПП'!I23/1000</f>
        <v>160.14132380052018</v>
      </c>
      <c r="J20" s="19"/>
      <c r="K20" s="19"/>
      <c r="L20" s="19">
        <f>G20+I20+K20</f>
        <v>160.14132380052018</v>
      </c>
      <c r="M20" s="20">
        <v>7800</v>
      </c>
      <c r="N20" s="35" t="s">
        <v>20</v>
      </c>
      <c r="O20" s="26"/>
      <c r="P20" s="34"/>
      <c r="Q20" s="19"/>
      <c r="R20" s="19">
        <v>809</v>
      </c>
      <c r="S20" s="19">
        <f>R20*'4. ПП'!J14/1000*'4. ПП'!J23/1000</f>
        <v>435.3122145598456</v>
      </c>
      <c r="T20" s="19"/>
      <c r="U20" s="19"/>
      <c r="V20" s="19">
        <f>Q20+S20+U20</f>
        <v>435.3122145598456</v>
      </c>
      <c r="W20" s="20"/>
      <c r="X20" s="35" t="str">
        <f t="shared" si="0"/>
        <v>амортизация</v>
      </c>
      <c r="Y20" s="26"/>
      <c r="Z20" s="34"/>
      <c r="AA20" s="19"/>
      <c r="AB20" s="19">
        <f>R20</f>
        <v>809</v>
      </c>
      <c r="AC20" s="19">
        <f>AB20*'4. ПП'!K14/1000*'4. ПП'!K23/1000</f>
        <v>381.8881157993698</v>
      </c>
      <c r="AD20" s="19"/>
      <c r="AE20" s="19"/>
      <c r="AF20" s="19">
        <f>AA20+AC20+AE20</f>
        <v>381.8881157993698</v>
      </c>
      <c r="AG20" s="20"/>
      <c r="AH20" s="35" t="str">
        <f t="shared" si="1"/>
        <v>амортизация</v>
      </c>
      <c r="AI20" s="26"/>
      <c r="AJ20" s="34"/>
      <c r="AK20" s="19"/>
      <c r="AL20" s="19">
        <f>AB20</f>
        <v>809</v>
      </c>
      <c r="AM20" s="19">
        <f>AL20*'4. ПП'!L14/1000*'4. ПП'!L23/1000</f>
        <v>400.8892085449113</v>
      </c>
      <c r="AN20" s="19"/>
      <c r="AO20" s="19"/>
      <c r="AP20" s="19">
        <f t="shared" si="2"/>
        <v>400.8892085449113</v>
      </c>
      <c r="AQ20" s="20"/>
      <c r="AR20" s="35" t="str">
        <f t="shared" si="3"/>
        <v>амортизация</v>
      </c>
      <c r="AS20" s="26"/>
    </row>
    <row r="21" spans="1:45" s="63" customFormat="1" ht="78.75">
      <c r="A21" s="6" t="s">
        <v>28</v>
      </c>
      <c r="B21" s="18" t="s">
        <v>47</v>
      </c>
      <c r="C21" s="18" t="s">
        <v>48</v>
      </c>
      <c r="D21" s="25" t="s">
        <v>3</v>
      </c>
      <c r="E21" s="21" t="s">
        <v>46</v>
      </c>
      <c r="F21" s="34"/>
      <c r="G21" s="19"/>
      <c r="H21" s="19"/>
      <c r="I21" s="19"/>
      <c r="J21" s="19"/>
      <c r="K21" s="19"/>
      <c r="L21" s="19"/>
      <c r="M21" s="20"/>
      <c r="N21" s="35" t="s">
        <v>51</v>
      </c>
      <c r="O21" s="26"/>
      <c r="P21" s="34"/>
      <c r="Q21" s="19"/>
      <c r="R21" s="19">
        <v>2791</v>
      </c>
      <c r="S21" s="19">
        <f>R21*'4. ПП'!J14/1000*'4. ПП'!J23/1000</f>
        <v>1501.8002358918777</v>
      </c>
      <c r="T21" s="19"/>
      <c r="U21" s="19"/>
      <c r="V21" s="19">
        <f>Q21+S21+U21</f>
        <v>1501.8002358918777</v>
      </c>
      <c r="W21" s="20"/>
      <c r="X21" s="35" t="str">
        <f t="shared" si="0"/>
        <v>не требуется</v>
      </c>
      <c r="Y21" s="26"/>
      <c r="Z21" s="34"/>
      <c r="AA21" s="19"/>
      <c r="AB21" s="19">
        <f>R21</f>
        <v>2791</v>
      </c>
      <c r="AC21" s="19">
        <f>AB21*'4. ПП'!K14/1000*'4. ПП'!K23/1000</f>
        <v>1317.490397028481</v>
      </c>
      <c r="AD21" s="19"/>
      <c r="AE21" s="19"/>
      <c r="AF21" s="19">
        <f>AA21+AC21+AE21</f>
        <v>1317.490397028481</v>
      </c>
      <c r="AG21" s="20"/>
      <c r="AH21" s="35" t="str">
        <f t="shared" si="1"/>
        <v>не требуется</v>
      </c>
      <c r="AI21" s="26"/>
      <c r="AJ21" s="34"/>
      <c r="AK21" s="19"/>
      <c r="AL21" s="19">
        <f>AB21</f>
        <v>2791</v>
      </c>
      <c r="AM21" s="19">
        <f>AL21*'4. ПП'!L14/1000*'4. ПП'!L23/1000</f>
        <v>1383.0429926438164</v>
      </c>
      <c r="AN21" s="19"/>
      <c r="AO21" s="19"/>
      <c r="AP21" s="19">
        <f t="shared" si="2"/>
        <v>1383.0429926438164</v>
      </c>
      <c r="AQ21" s="20"/>
      <c r="AR21" s="35" t="str">
        <f t="shared" si="3"/>
        <v>не требуется</v>
      </c>
      <c r="AS21" s="26"/>
    </row>
    <row r="22" spans="1:45" ht="63">
      <c r="A22" s="12" t="s">
        <v>124</v>
      </c>
      <c r="B22" s="13" t="s">
        <v>56</v>
      </c>
      <c r="C22" s="13" t="s">
        <v>57</v>
      </c>
      <c r="D22" s="176">
        <v>2015</v>
      </c>
      <c r="E22" s="177" t="s">
        <v>24</v>
      </c>
      <c r="F22" s="36"/>
      <c r="G22" s="37"/>
      <c r="H22" s="37"/>
      <c r="I22" s="37"/>
      <c r="J22" s="37"/>
      <c r="K22" s="37"/>
      <c r="L22" s="37"/>
      <c r="M22" s="38"/>
      <c r="N22" s="39" t="s">
        <v>20</v>
      </c>
      <c r="O22" s="40"/>
      <c r="P22" s="36"/>
      <c r="Q22" s="37"/>
      <c r="R22" s="37">
        <v>398</v>
      </c>
      <c r="S22" s="37">
        <f>R22*'4. ПП'!J14/1000*'4. ПП'!J23/1000</f>
        <v>214.15854313327387</v>
      </c>
      <c r="T22" s="37"/>
      <c r="U22" s="37"/>
      <c r="V22" s="19">
        <f>Q22+S22+U22</f>
        <v>214.15854313327387</v>
      </c>
      <c r="W22" s="38">
        <v>7800</v>
      </c>
      <c r="X22" s="39" t="str">
        <f t="shared" si="0"/>
        <v>амортизация</v>
      </c>
      <c r="Y22" s="40"/>
      <c r="Z22" s="36"/>
      <c r="AA22" s="37"/>
      <c r="AB22" s="37">
        <v>1245</v>
      </c>
      <c r="AC22" s="37">
        <f>AB22*'4. ПП'!K14/1000*'4. ПП'!K23/1000</f>
        <v>587.7017356862984</v>
      </c>
      <c r="AD22" s="37"/>
      <c r="AE22" s="37"/>
      <c r="AF22" s="19">
        <f>AA22+AC22+AE22</f>
        <v>587.7017356862984</v>
      </c>
      <c r="AG22" s="38"/>
      <c r="AH22" s="39" t="str">
        <f t="shared" si="1"/>
        <v>амортизация</v>
      </c>
      <c r="AI22" s="40"/>
      <c r="AJ22" s="36"/>
      <c r="AK22" s="37"/>
      <c r="AL22" s="37">
        <f>AB22</f>
        <v>1245</v>
      </c>
      <c r="AM22" s="37">
        <f>AL22*'4. ПП'!L14/1000*'4. ПП'!L23/1000</f>
        <v>616.9432195777683</v>
      </c>
      <c r="AN22" s="37"/>
      <c r="AO22" s="37"/>
      <c r="AP22" s="19">
        <f t="shared" si="2"/>
        <v>616.9432195777683</v>
      </c>
      <c r="AQ22" s="38"/>
      <c r="AR22" s="39" t="str">
        <f t="shared" si="3"/>
        <v>амортизация</v>
      </c>
      <c r="AS22" s="40"/>
    </row>
    <row r="23" spans="1:45" ht="19.5" thickBot="1">
      <c r="A23" s="591" t="s">
        <v>39</v>
      </c>
      <c r="B23" s="592"/>
      <c r="C23" s="592"/>
      <c r="D23" s="592"/>
      <c r="E23" s="593"/>
      <c r="F23" s="41">
        <f aca="true" t="shared" si="4" ref="F23:M23">SUM(F17:F22)</f>
        <v>0</v>
      </c>
      <c r="G23" s="42">
        <f t="shared" si="4"/>
        <v>0</v>
      </c>
      <c r="H23" s="42">
        <f t="shared" si="4"/>
        <v>303.375</v>
      </c>
      <c r="I23" s="42">
        <f t="shared" si="4"/>
        <v>160.14132380052018</v>
      </c>
      <c r="J23" s="42">
        <f t="shared" si="4"/>
        <v>0</v>
      </c>
      <c r="K23" s="42">
        <f t="shared" si="4"/>
        <v>0</v>
      </c>
      <c r="L23" s="42">
        <f t="shared" si="4"/>
        <v>160.14132380052018</v>
      </c>
      <c r="M23" s="42">
        <f t="shared" si="4"/>
        <v>7800</v>
      </c>
      <c r="N23" s="42" t="s">
        <v>29</v>
      </c>
      <c r="O23" s="51" t="s">
        <v>29</v>
      </c>
      <c r="P23" s="44">
        <f aca="true" t="shared" si="5" ref="P23:W23">SUM(P17:P22)</f>
        <v>219.577</v>
      </c>
      <c r="Q23" s="42">
        <f t="shared" si="5"/>
        <v>928.3847229747431</v>
      </c>
      <c r="R23" s="42">
        <f t="shared" si="5"/>
        <v>3998</v>
      </c>
      <c r="S23" s="42">
        <f t="shared" si="5"/>
        <v>2151.270993584997</v>
      </c>
      <c r="T23" s="42">
        <f t="shared" si="5"/>
        <v>0</v>
      </c>
      <c r="U23" s="42">
        <f t="shared" si="5"/>
        <v>0</v>
      </c>
      <c r="V23" s="42">
        <f t="shared" si="5"/>
        <v>3079.65571655974</v>
      </c>
      <c r="W23" s="42">
        <f t="shared" si="5"/>
        <v>9322</v>
      </c>
      <c r="X23" s="42" t="s">
        <v>29</v>
      </c>
      <c r="Y23" s="52" t="s">
        <v>29</v>
      </c>
      <c r="Z23" s="44">
        <f aca="true" t="shared" si="6" ref="Z23:AG23">SUM(Z17:Z22)</f>
        <v>260.077</v>
      </c>
      <c r="AA23" s="42">
        <f t="shared" si="6"/>
        <v>1173.2957687194382</v>
      </c>
      <c r="AB23" s="42">
        <f t="shared" si="6"/>
        <v>4845</v>
      </c>
      <c r="AC23" s="42">
        <f t="shared" si="6"/>
        <v>2287.0802485141494</v>
      </c>
      <c r="AD23" s="42">
        <f t="shared" si="6"/>
        <v>0</v>
      </c>
      <c r="AE23" s="42">
        <f t="shared" si="6"/>
        <v>0</v>
      </c>
      <c r="AF23" s="42">
        <f t="shared" si="6"/>
        <v>3460.3760172335874</v>
      </c>
      <c r="AG23" s="42">
        <f t="shared" si="6"/>
        <v>0</v>
      </c>
      <c r="AH23" s="42" t="s">
        <v>29</v>
      </c>
      <c r="AI23" s="52" t="s">
        <v>29</v>
      </c>
      <c r="AJ23" s="44">
        <f aca="true" t="shared" si="7" ref="AJ23:AQ23">SUM(AJ17:AJ22)</f>
        <v>260.077</v>
      </c>
      <c r="AK23" s="42">
        <f t="shared" si="7"/>
        <v>1230.7872613866905</v>
      </c>
      <c r="AL23" s="42">
        <f t="shared" si="7"/>
        <v>5138.5</v>
      </c>
      <c r="AM23" s="42">
        <f t="shared" si="7"/>
        <v>2546.3154488356327</v>
      </c>
      <c r="AN23" s="42">
        <f t="shared" si="7"/>
        <v>2444.5</v>
      </c>
      <c r="AO23" s="42">
        <f t="shared" si="7"/>
        <v>28747.32</v>
      </c>
      <c r="AP23" s="42">
        <f t="shared" si="7"/>
        <v>32524.422710222327</v>
      </c>
      <c r="AQ23" s="42">
        <f t="shared" si="7"/>
        <v>10778</v>
      </c>
      <c r="AR23" s="42" t="s">
        <v>29</v>
      </c>
      <c r="AS23" s="52" t="s">
        <v>29</v>
      </c>
    </row>
    <row r="25" spans="4:47" s="63" customFormat="1" ht="18.75">
      <c r="D25" s="136" t="s">
        <v>265</v>
      </c>
      <c r="E25" s="136"/>
      <c r="F25" s="136" t="s">
        <v>265</v>
      </c>
      <c r="G25" s="136"/>
      <c r="H25" s="136"/>
      <c r="I25" s="136"/>
      <c r="J25" s="136"/>
      <c r="P25" s="136" t="s">
        <v>265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 t="s">
        <v>265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</row>
    <row r="26" spans="4:45" s="63" customFormat="1" ht="131.25">
      <c r="D26" s="143" t="s">
        <v>7</v>
      </c>
      <c r="E26" s="143" t="s">
        <v>243</v>
      </c>
      <c r="F26" s="143" t="s">
        <v>7</v>
      </c>
      <c r="G26" s="143" t="s">
        <v>250</v>
      </c>
      <c r="H26" s="143" t="s">
        <v>107</v>
      </c>
      <c r="I26" s="615" t="s">
        <v>230</v>
      </c>
      <c r="J26" s="158" t="s">
        <v>266</v>
      </c>
      <c r="K26" s="268"/>
      <c r="L26" s="223"/>
      <c r="M26" s="269"/>
      <c r="P26" s="143" t="s">
        <v>7</v>
      </c>
      <c r="Q26" s="143" t="s">
        <v>243</v>
      </c>
      <c r="R26" s="143" t="s">
        <v>228</v>
      </c>
      <c r="S26" s="158" t="s">
        <v>269</v>
      </c>
      <c r="T26" s="143" t="s">
        <v>250</v>
      </c>
      <c r="U26" s="143" t="s">
        <v>107</v>
      </c>
      <c r="V26" s="615" t="s">
        <v>230</v>
      </c>
      <c r="W26" s="158" t="s">
        <v>267</v>
      </c>
      <c r="X26" s="158" t="s">
        <v>268</v>
      </c>
      <c r="Y26" s="619"/>
      <c r="Z26" s="143" t="s">
        <v>7</v>
      </c>
      <c r="AA26" s="143" t="s">
        <v>243</v>
      </c>
      <c r="AB26" s="143" t="s">
        <v>228</v>
      </c>
      <c r="AC26" s="158" t="s">
        <v>244</v>
      </c>
      <c r="AD26" s="143" t="s">
        <v>250</v>
      </c>
      <c r="AE26" s="143" t="s">
        <v>107</v>
      </c>
      <c r="AF26" s="615" t="s">
        <v>230</v>
      </c>
      <c r="AG26" s="158" t="s">
        <v>253</v>
      </c>
      <c r="AH26" s="158" t="s">
        <v>257</v>
      </c>
      <c r="AI26" s="619"/>
      <c r="AJ26" s="143" t="s">
        <v>228</v>
      </c>
      <c r="AK26" s="158" t="s">
        <v>244</v>
      </c>
      <c r="AL26" s="143" t="s">
        <v>250</v>
      </c>
      <c r="AM26" s="143" t="s">
        <v>107</v>
      </c>
      <c r="AN26" s="615" t="s">
        <v>230</v>
      </c>
      <c r="AO26" s="158" t="s">
        <v>253</v>
      </c>
      <c r="AP26" s="143" t="s">
        <v>34</v>
      </c>
      <c r="AQ26" s="143" t="s">
        <v>232</v>
      </c>
      <c r="AR26" s="158" t="s">
        <v>259</v>
      </c>
      <c r="AS26" s="158" t="s">
        <v>260</v>
      </c>
    </row>
    <row r="27" spans="4:45" s="63" customFormat="1" ht="37.5">
      <c r="D27" s="143"/>
      <c r="E27" s="143" t="s">
        <v>245</v>
      </c>
      <c r="F27" s="143"/>
      <c r="G27" s="143" t="s">
        <v>31</v>
      </c>
      <c r="H27" s="155" t="s">
        <v>86</v>
      </c>
      <c r="I27" s="222" t="s">
        <v>231</v>
      </c>
      <c r="J27" s="143" t="s">
        <v>249</v>
      </c>
      <c r="K27" s="268"/>
      <c r="L27" s="223"/>
      <c r="M27" s="269"/>
      <c r="P27" s="143"/>
      <c r="Q27" s="143" t="s">
        <v>245</v>
      </c>
      <c r="R27" s="222" t="s">
        <v>229</v>
      </c>
      <c r="S27" s="143" t="s">
        <v>249</v>
      </c>
      <c r="T27" s="143" t="s">
        <v>31</v>
      </c>
      <c r="U27" s="155" t="s">
        <v>86</v>
      </c>
      <c r="V27" s="222" t="s">
        <v>231</v>
      </c>
      <c r="W27" s="143" t="s">
        <v>249</v>
      </c>
      <c r="X27" s="154"/>
      <c r="Y27" s="619"/>
      <c r="Z27" s="143"/>
      <c r="AA27" s="143" t="s">
        <v>245</v>
      </c>
      <c r="AB27" s="222" t="s">
        <v>229</v>
      </c>
      <c r="AC27" s="143" t="s">
        <v>249</v>
      </c>
      <c r="AD27" s="143" t="s">
        <v>31</v>
      </c>
      <c r="AE27" s="155" t="s">
        <v>86</v>
      </c>
      <c r="AF27" s="222" t="s">
        <v>231</v>
      </c>
      <c r="AG27" s="143" t="s">
        <v>249</v>
      </c>
      <c r="AH27" s="154"/>
      <c r="AI27" s="619"/>
      <c r="AJ27" s="222" t="s">
        <v>229</v>
      </c>
      <c r="AK27" s="143" t="s">
        <v>249</v>
      </c>
      <c r="AL27" s="143" t="s">
        <v>31</v>
      </c>
      <c r="AM27" s="155" t="s">
        <v>86</v>
      </c>
      <c r="AN27" s="222" t="s">
        <v>231</v>
      </c>
      <c r="AO27" s="143" t="s">
        <v>249</v>
      </c>
      <c r="AP27" s="143" t="s">
        <v>33</v>
      </c>
      <c r="AQ27" s="222" t="s">
        <v>261</v>
      </c>
      <c r="AR27" s="143" t="s">
        <v>249</v>
      </c>
      <c r="AS27" s="154"/>
    </row>
    <row r="28" spans="4:45" s="63" customFormat="1" ht="21">
      <c r="D28" s="153">
        <v>1</v>
      </c>
      <c r="E28" s="158">
        <v>2</v>
      </c>
      <c r="F28" s="153">
        <v>1</v>
      </c>
      <c r="G28" s="158">
        <v>2</v>
      </c>
      <c r="H28" s="158">
        <v>3</v>
      </c>
      <c r="I28" s="153">
        <v>4</v>
      </c>
      <c r="J28" s="153">
        <v>5</v>
      </c>
      <c r="K28" s="270"/>
      <c r="L28" s="271"/>
      <c r="M28" s="271"/>
      <c r="P28" s="153">
        <v>1</v>
      </c>
      <c r="Q28" s="158">
        <v>2</v>
      </c>
      <c r="R28" s="158">
        <v>3</v>
      </c>
      <c r="S28" s="153">
        <v>4</v>
      </c>
      <c r="T28" s="158">
        <v>5</v>
      </c>
      <c r="U28" s="158">
        <v>6</v>
      </c>
      <c r="V28" s="153">
        <v>7</v>
      </c>
      <c r="W28" s="153">
        <v>8</v>
      </c>
      <c r="X28" s="153">
        <v>9</v>
      </c>
      <c r="Y28" s="619"/>
      <c r="Z28" s="153">
        <v>1</v>
      </c>
      <c r="AA28" s="158">
        <v>2</v>
      </c>
      <c r="AB28" s="158">
        <v>3</v>
      </c>
      <c r="AC28" s="153">
        <v>4</v>
      </c>
      <c r="AD28" s="158">
        <v>5</v>
      </c>
      <c r="AE28" s="158">
        <v>6</v>
      </c>
      <c r="AF28" s="153">
        <v>7</v>
      </c>
      <c r="AG28" s="153">
        <v>8</v>
      </c>
      <c r="AH28" s="153">
        <v>9</v>
      </c>
      <c r="AI28" s="619"/>
      <c r="AJ28" s="153">
        <v>3</v>
      </c>
      <c r="AK28" s="158">
        <v>4</v>
      </c>
      <c r="AL28" s="153">
        <v>5</v>
      </c>
      <c r="AM28" s="158">
        <v>6</v>
      </c>
      <c r="AN28" s="153">
        <v>7</v>
      </c>
      <c r="AO28" s="158">
        <v>8</v>
      </c>
      <c r="AP28" s="153">
        <v>9</v>
      </c>
      <c r="AQ28" s="158">
        <v>10</v>
      </c>
      <c r="AR28" s="153">
        <v>11</v>
      </c>
      <c r="AS28" s="158">
        <v>12</v>
      </c>
    </row>
    <row r="29" spans="4:45" s="63" customFormat="1" ht="21">
      <c r="D29" s="154" t="s">
        <v>251</v>
      </c>
      <c r="E29" s="166">
        <f>AJ17</f>
        <v>54</v>
      </c>
      <c r="F29" s="154" t="s">
        <v>254</v>
      </c>
      <c r="G29" s="166">
        <f>H20</f>
        <v>303.375</v>
      </c>
      <c r="H29" s="166">
        <f>'4. ПП'!I14</f>
        <v>191.84</v>
      </c>
      <c r="I29" s="166">
        <f>'4. ПП'!I23</f>
        <v>2751.594667725786</v>
      </c>
      <c r="J29" s="616">
        <f>G29*H29/1000*I29/1000</f>
        <v>160.14132380052018</v>
      </c>
      <c r="K29" s="272"/>
      <c r="L29" s="272"/>
      <c r="M29" s="273"/>
      <c r="P29" s="154" t="s">
        <v>251</v>
      </c>
      <c r="Q29" s="166">
        <f>P17</f>
        <v>13.5</v>
      </c>
      <c r="R29" s="166">
        <f>'4. ПП'!J47</f>
        <v>4.228059965181886</v>
      </c>
      <c r="S29" s="616">
        <f>Q29*R29</f>
        <v>57.078809529955464</v>
      </c>
      <c r="T29" s="166"/>
      <c r="U29" s="166"/>
      <c r="V29" s="166"/>
      <c r="W29" s="616">
        <f>U29*V29</f>
        <v>0</v>
      </c>
      <c r="X29" s="166">
        <f>S29+W29</f>
        <v>57.078809529955464</v>
      </c>
      <c r="Y29" s="619"/>
      <c r="Z29" s="154" t="s">
        <v>251</v>
      </c>
      <c r="AA29" s="166">
        <f>Z17</f>
        <v>54</v>
      </c>
      <c r="AB29" s="166">
        <f>'4. ПП'!K47</f>
        <v>4.511339982849073</v>
      </c>
      <c r="AC29" s="616">
        <f>AA29*AB29</f>
        <v>243.61235907384992</v>
      </c>
      <c r="AD29" s="166"/>
      <c r="AE29" s="166"/>
      <c r="AF29" s="166"/>
      <c r="AG29" s="616">
        <f>AE29*AF29</f>
        <v>0</v>
      </c>
      <c r="AH29" s="166">
        <f>AC29+AG29</f>
        <v>243.61235907384992</v>
      </c>
      <c r="AI29" s="619"/>
      <c r="AJ29" s="166">
        <f>'4. ПП'!L47</f>
        <v>4.732395642008677</v>
      </c>
      <c r="AK29" s="616">
        <f>E29*AJ29</f>
        <v>255.54936466846854</v>
      </c>
      <c r="AL29" s="166"/>
      <c r="AM29" s="166"/>
      <c r="AN29" s="166"/>
      <c r="AO29" s="616"/>
      <c r="AP29" s="166"/>
      <c r="AQ29" s="616"/>
      <c r="AR29" s="616"/>
      <c r="AS29" s="166">
        <f aca="true" t="shared" si="8" ref="AS29:AS34">AK29+AO29+AR29</f>
        <v>255.54936466846854</v>
      </c>
    </row>
    <row r="30" spans="4:45" s="63" customFormat="1" ht="21">
      <c r="D30" s="154" t="s">
        <v>246</v>
      </c>
      <c r="E30" s="166"/>
      <c r="F30" s="267"/>
      <c r="G30" s="272"/>
      <c r="H30" s="272"/>
      <c r="I30" s="272"/>
      <c r="J30" s="272"/>
      <c r="K30" s="272"/>
      <c r="L30" s="272"/>
      <c r="M30" s="272"/>
      <c r="P30" s="154" t="s">
        <v>247</v>
      </c>
      <c r="Q30" s="166">
        <f>P19</f>
        <v>206.077</v>
      </c>
      <c r="R30" s="617">
        <f>'4. ПП'!J47</f>
        <v>4.228059965181886</v>
      </c>
      <c r="S30" s="166">
        <f>Q30*R30</f>
        <v>871.3059134447876</v>
      </c>
      <c r="T30" s="166"/>
      <c r="U30" s="166"/>
      <c r="V30" s="166"/>
      <c r="W30" s="166">
        <f>T30*U30/1000*V30/1000</f>
        <v>0</v>
      </c>
      <c r="X30" s="166">
        <f>S30+W30</f>
        <v>871.3059134447876</v>
      </c>
      <c r="Y30" s="619"/>
      <c r="Z30" s="154" t="s">
        <v>247</v>
      </c>
      <c r="AA30" s="166">
        <f>Z19</f>
        <v>206.077</v>
      </c>
      <c r="AB30" s="617">
        <f>'4. ПП'!K47</f>
        <v>4.511339982849073</v>
      </c>
      <c r="AC30" s="166">
        <f>AA30*AB30</f>
        <v>929.6834096455883</v>
      </c>
      <c r="AD30" s="166"/>
      <c r="AE30" s="166"/>
      <c r="AF30" s="166"/>
      <c r="AG30" s="166">
        <f>AD30*AE30/1000*AF30/1000</f>
        <v>0</v>
      </c>
      <c r="AH30" s="166">
        <f>AC30+AG30</f>
        <v>929.6834096455883</v>
      </c>
      <c r="AI30" s="619"/>
      <c r="AJ30" s="617"/>
      <c r="AK30" s="166"/>
      <c r="AL30" s="166">
        <f>AL18</f>
        <v>293.5</v>
      </c>
      <c r="AM30" s="166">
        <f>'4. ПП'!L14</f>
        <v>161</v>
      </c>
      <c r="AN30" s="166">
        <f>'4. ПП'!L23</f>
        <v>3077.867841940524</v>
      </c>
      <c r="AO30" s="166">
        <f>AL30*AM30/1000*AN30/1000</f>
        <v>145.4400280691366</v>
      </c>
      <c r="AP30" s="166">
        <f>AN18</f>
        <v>2444.5</v>
      </c>
      <c r="AQ30" s="166">
        <f>'4. ПП'!L48</f>
        <v>11.76</v>
      </c>
      <c r="AR30" s="166">
        <f>AP30*AQ30</f>
        <v>28747.32</v>
      </c>
      <c r="AS30" s="166">
        <f t="shared" si="8"/>
        <v>28892.760028069137</v>
      </c>
    </row>
    <row r="31" spans="4:45" s="63" customFormat="1" ht="21">
      <c r="D31" s="154" t="s">
        <v>247</v>
      </c>
      <c r="E31" s="166">
        <f>AJ19</f>
        <v>206.077</v>
      </c>
      <c r="F31" s="267"/>
      <c r="G31" s="272"/>
      <c r="H31" s="272"/>
      <c r="I31" s="272"/>
      <c r="J31" s="272"/>
      <c r="K31" s="272"/>
      <c r="L31" s="272"/>
      <c r="M31" s="272"/>
      <c r="P31" s="154" t="s">
        <v>254</v>
      </c>
      <c r="Q31" s="166"/>
      <c r="R31" s="166"/>
      <c r="S31" s="166"/>
      <c r="T31" s="166">
        <f>R20</f>
        <v>809</v>
      </c>
      <c r="U31" s="166">
        <f>'4. ПП'!J14</f>
        <v>192.29</v>
      </c>
      <c r="V31" s="166">
        <f>'4. ПП'!J23</f>
        <v>2798.308761725235</v>
      </c>
      <c r="W31" s="166">
        <f>T31*U31/1000*V31/1000</f>
        <v>435.3122145598456</v>
      </c>
      <c r="X31" s="166">
        <f>S31+W31</f>
        <v>435.3122145598456</v>
      </c>
      <c r="Y31" s="619"/>
      <c r="Z31" s="154" t="s">
        <v>254</v>
      </c>
      <c r="AA31" s="166"/>
      <c r="AB31" s="166"/>
      <c r="AC31" s="166"/>
      <c r="AD31" s="166">
        <f>AB20</f>
        <v>809</v>
      </c>
      <c r="AE31" s="166">
        <f>'4. ПП'!K14</f>
        <v>161</v>
      </c>
      <c r="AF31" s="166">
        <f>'4. ПП'!K23</f>
        <v>2931.985011780281</v>
      </c>
      <c r="AG31" s="166">
        <f>AD31*AE31/1000*AF31/1000</f>
        <v>381.8881157993698</v>
      </c>
      <c r="AH31" s="166">
        <f>AC31+AG31</f>
        <v>381.8881157993698</v>
      </c>
      <c r="AI31" s="619"/>
      <c r="AJ31" s="166">
        <f>'4. ПП'!L47</f>
        <v>4.732395642008677</v>
      </c>
      <c r="AK31" s="166">
        <f>E31*AJ31</f>
        <v>975.237896718222</v>
      </c>
      <c r="AL31" s="166"/>
      <c r="AM31" s="166"/>
      <c r="AN31" s="166"/>
      <c r="AO31" s="166"/>
      <c r="AP31" s="166"/>
      <c r="AQ31" s="616"/>
      <c r="AR31" s="166"/>
      <c r="AS31" s="166">
        <f t="shared" si="8"/>
        <v>975.237896718222</v>
      </c>
    </row>
    <row r="32" spans="4:45" s="63" customFormat="1" ht="21">
      <c r="D32" s="154" t="s">
        <v>254</v>
      </c>
      <c r="E32" s="166"/>
      <c r="F32" s="267"/>
      <c r="G32" s="272"/>
      <c r="H32" s="272"/>
      <c r="I32" s="272"/>
      <c r="J32" s="272"/>
      <c r="K32" s="272"/>
      <c r="L32" s="272"/>
      <c r="M32" s="272"/>
      <c r="P32" s="154" t="s">
        <v>255</v>
      </c>
      <c r="Q32" s="166"/>
      <c r="R32" s="166"/>
      <c r="S32" s="166"/>
      <c r="T32" s="166">
        <f>R21</f>
        <v>2791</v>
      </c>
      <c r="U32" s="166">
        <f>'4. ПП'!J14</f>
        <v>192.29</v>
      </c>
      <c r="V32" s="166">
        <f>'4. ПП'!J23</f>
        <v>2798.308761725235</v>
      </c>
      <c r="W32" s="166">
        <f>T32*U32/1000*V32/1000</f>
        <v>1501.8002358918777</v>
      </c>
      <c r="X32" s="166">
        <f>S32+W32</f>
        <v>1501.8002358918777</v>
      </c>
      <c r="Y32" s="619"/>
      <c r="Z32" s="154" t="s">
        <v>255</v>
      </c>
      <c r="AA32" s="166"/>
      <c r="AB32" s="166"/>
      <c r="AC32" s="166"/>
      <c r="AD32" s="166">
        <f>AB21</f>
        <v>2791</v>
      </c>
      <c r="AE32" s="166">
        <f>'4. ПП'!K14</f>
        <v>161</v>
      </c>
      <c r="AF32" s="166">
        <f>'4. ПП'!K23</f>
        <v>2931.985011780281</v>
      </c>
      <c r="AG32" s="166">
        <f>AD32*AE32/1000*AF32/1000</f>
        <v>1317.490397028481</v>
      </c>
      <c r="AH32" s="166">
        <f>AC32+AG32</f>
        <v>1317.490397028481</v>
      </c>
      <c r="AI32" s="619"/>
      <c r="AJ32" s="166"/>
      <c r="AK32" s="166"/>
      <c r="AL32" s="166">
        <f>AL20</f>
        <v>809</v>
      </c>
      <c r="AM32" s="166">
        <f>'4. ПП'!L14</f>
        <v>161</v>
      </c>
      <c r="AN32" s="166">
        <f>'4. ПП'!L23</f>
        <v>3077.867841940524</v>
      </c>
      <c r="AO32" s="166">
        <f>AL32*AM32/1000*AN32/1000</f>
        <v>400.8892085449113</v>
      </c>
      <c r="AP32" s="166"/>
      <c r="AQ32" s="616"/>
      <c r="AR32" s="166"/>
      <c r="AS32" s="166">
        <f t="shared" si="8"/>
        <v>400.8892085449113</v>
      </c>
    </row>
    <row r="33" spans="4:45" s="63" customFormat="1" ht="21">
      <c r="D33" s="154" t="s">
        <v>255</v>
      </c>
      <c r="E33" s="166"/>
      <c r="F33" s="267"/>
      <c r="G33" s="272"/>
      <c r="H33" s="272"/>
      <c r="I33" s="272"/>
      <c r="J33" s="272"/>
      <c r="K33" s="272"/>
      <c r="L33" s="272"/>
      <c r="M33" s="272"/>
      <c r="P33" s="154" t="s">
        <v>256</v>
      </c>
      <c r="Q33" s="166"/>
      <c r="R33" s="166"/>
      <c r="S33" s="166"/>
      <c r="T33" s="166">
        <f>R22</f>
        <v>398</v>
      </c>
      <c r="U33" s="166">
        <f>'4. ПП'!J14</f>
        <v>192.29</v>
      </c>
      <c r="V33" s="166">
        <f>'4. ПП'!J23</f>
        <v>2798.308761725235</v>
      </c>
      <c r="W33" s="166">
        <f>T33*U33/1000*V33/1000</f>
        <v>214.15854313327387</v>
      </c>
      <c r="X33" s="166">
        <f>S33+W33</f>
        <v>214.15854313327387</v>
      </c>
      <c r="Y33" s="619"/>
      <c r="Z33" s="154" t="s">
        <v>256</v>
      </c>
      <c r="AA33" s="166"/>
      <c r="AB33" s="166"/>
      <c r="AC33" s="166"/>
      <c r="AD33" s="166">
        <f>AB22</f>
        <v>1245</v>
      </c>
      <c r="AE33" s="166">
        <f>'4. ПП'!K14</f>
        <v>161</v>
      </c>
      <c r="AF33" s="166">
        <f>'4. ПП'!K23</f>
        <v>2931.985011780281</v>
      </c>
      <c r="AG33" s="166">
        <f>AD33*AE33/1000*AF33/1000</f>
        <v>587.7017356862984</v>
      </c>
      <c r="AH33" s="166">
        <f>AC33+AG33</f>
        <v>587.7017356862984</v>
      </c>
      <c r="AI33" s="619"/>
      <c r="AJ33" s="166"/>
      <c r="AK33" s="166"/>
      <c r="AL33" s="166">
        <f>AL21</f>
        <v>2791</v>
      </c>
      <c r="AM33" s="166">
        <f>'4. ПП'!L14</f>
        <v>161</v>
      </c>
      <c r="AN33" s="166">
        <f>'4. ПП'!L23</f>
        <v>3077.867841940524</v>
      </c>
      <c r="AO33" s="166">
        <f>AL33*AM33/1000*AN33/1000</f>
        <v>1383.0429926438164</v>
      </c>
      <c r="AP33" s="166"/>
      <c r="AQ33" s="616"/>
      <c r="AR33" s="166"/>
      <c r="AS33" s="166">
        <f t="shared" si="8"/>
        <v>1383.0429926438164</v>
      </c>
    </row>
    <row r="34" spans="4:45" s="63" customFormat="1" ht="21">
      <c r="D34" s="154" t="s">
        <v>256</v>
      </c>
      <c r="E34" s="154"/>
      <c r="F34" s="274"/>
      <c r="G34" s="65"/>
      <c r="H34" s="65"/>
      <c r="I34" s="273"/>
      <c r="J34" s="273"/>
      <c r="K34" s="65"/>
      <c r="L34" s="273"/>
      <c r="M34" s="273"/>
      <c r="P34" s="620" t="s">
        <v>258</v>
      </c>
      <c r="Q34" s="154"/>
      <c r="R34" s="154"/>
      <c r="S34" s="616"/>
      <c r="T34" s="154"/>
      <c r="U34" s="154"/>
      <c r="V34" s="616"/>
      <c r="W34" s="616"/>
      <c r="X34" s="616">
        <f>SUM(X29:X33)</f>
        <v>3079.65571655974</v>
      </c>
      <c r="Y34" s="619"/>
      <c r="Z34" s="620" t="s">
        <v>258</v>
      </c>
      <c r="AA34" s="154"/>
      <c r="AB34" s="154"/>
      <c r="AC34" s="616"/>
      <c r="AD34" s="154"/>
      <c r="AE34" s="154"/>
      <c r="AF34" s="616"/>
      <c r="AG34" s="616"/>
      <c r="AH34" s="616">
        <f>SUM(AH29:AH33)</f>
        <v>3460.3760172335874</v>
      </c>
      <c r="AI34" s="619"/>
      <c r="AJ34" s="154"/>
      <c r="AK34" s="616"/>
      <c r="AL34" s="166">
        <f>AL22</f>
        <v>1245</v>
      </c>
      <c r="AM34" s="166">
        <f>'4. ПП'!L14</f>
        <v>161</v>
      </c>
      <c r="AN34" s="166">
        <f>'4. ПП'!L23</f>
        <v>3077.867841940524</v>
      </c>
      <c r="AO34" s="166">
        <f>AL34*AM34/1000*AN34/1000</f>
        <v>616.9432195777683</v>
      </c>
      <c r="AP34" s="166"/>
      <c r="AQ34" s="616"/>
      <c r="AR34" s="616"/>
      <c r="AS34" s="166">
        <f t="shared" si="8"/>
        <v>616.9432195777683</v>
      </c>
    </row>
    <row r="35" spans="4:45" s="63" customFormat="1" ht="18.75">
      <c r="D35" s="618" t="s">
        <v>258</v>
      </c>
      <c r="E35" s="613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613"/>
      <c r="AK35" s="614"/>
      <c r="AL35" s="613"/>
      <c r="AM35" s="613"/>
      <c r="AN35" s="614"/>
      <c r="AO35" s="614"/>
      <c r="AP35" s="614"/>
      <c r="AQ35" s="613"/>
      <c r="AR35" s="614"/>
      <c r="AS35" s="616">
        <f>SUM(AS29:AS34)</f>
        <v>32524.422710222327</v>
      </c>
    </row>
  </sheetData>
  <sheetProtection/>
  <mergeCells count="78">
    <mergeCell ref="AQ1:AS1"/>
    <mergeCell ref="AO2:AS2"/>
    <mergeCell ref="S13:S14"/>
    <mergeCell ref="W11:W14"/>
    <mergeCell ref="U2:Y2"/>
    <mergeCell ref="W1:Y1"/>
    <mergeCell ref="AG1:AI1"/>
    <mergeCell ref="AE2:AI2"/>
    <mergeCell ref="AJ13:AJ14"/>
    <mergeCell ref="U13:U14"/>
    <mergeCell ref="AJ12:AK12"/>
    <mergeCell ref="AL12:AM12"/>
    <mergeCell ref="AK13:AK14"/>
    <mergeCell ref="A23:E23"/>
    <mergeCell ref="A16:C16"/>
    <mergeCell ref="G13:G14"/>
    <mergeCell ref="H13:H14"/>
    <mergeCell ref="I13:I14"/>
    <mergeCell ref="J13:J14"/>
    <mergeCell ref="AL13:AL14"/>
    <mergeCell ref="AM13:AM14"/>
    <mergeCell ref="Z12:AA12"/>
    <mergeCell ref="AJ11:AP11"/>
    <mergeCell ref="Z13:Z14"/>
    <mergeCell ref="AA13:AA14"/>
    <mergeCell ref="AP12:AP14"/>
    <mergeCell ref="AN12:AO12"/>
    <mergeCell ref="AN13:AN14"/>
    <mergeCell ref="AO13:AO14"/>
    <mergeCell ref="AI11:AI14"/>
    <mergeCell ref="F12:G12"/>
    <mergeCell ref="H12:I12"/>
    <mergeCell ref="J12:K12"/>
    <mergeCell ref="L12:L14"/>
    <mergeCell ref="P12:Q12"/>
    <mergeCell ref="Y11:Y14"/>
    <mergeCell ref="K13:K14"/>
    <mergeCell ref="P13:P14"/>
    <mergeCell ref="R12:S12"/>
    <mergeCell ref="T12:U12"/>
    <mergeCell ref="AJ10:AS10"/>
    <mergeCell ref="X11:X14"/>
    <mergeCell ref="AQ11:AQ14"/>
    <mergeCell ref="AR11:AR14"/>
    <mergeCell ref="AS11:AS14"/>
    <mergeCell ref="T13:T14"/>
    <mergeCell ref="Z11:AF11"/>
    <mergeCell ref="AD13:AD14"/>
    <mergeCell ref="AB13:AB14"/>
    <mergeCell ref="AC13:AC14"/>
    <mergeCell ref="Q13:Q14"/>
    <mergeCell ref="R13:R14"/>
    <mergeCell ref="P10:Y10"/>
    <mergeCell ref="Z10:AI10"/>
    <mergeCell ref="AB12:AC12"/>
    <mergeCell ref="AD12:AE12"/>
    <mergeCell ref="AF12:AF14"/>
    <mergeCell ref="AE13:AE14"/>
    <mergeCell ref="B10:B14"/>
    <mergeCell ref="C10:C14"/>
    <mergeCell ref="AG11:AG14"/>
    <mergeCell ref="AH11:AH14"/>
    <mergeCell ref="F10:O10"/>
    <mergeCell ref="F11:L11"/>
    <mergeCell ref="M11:M14"/>
    <mergeCell ref="N11:N14"/>
    <mergeCell ref="O11:O14"/>
    <mergeCell ref="P11:V11"/>
    <mergeCell ref="D10:D14"/>
    <mergeCell ref="E10:E14"/>
    <mergeCell ref="V12:V14"/>
    <mergeCell ref="F13:F14"/>
    <mergeCell ref="G8:H8"/>
    <mergeCell ref="N1:O1"/>
    <mergeCell ref="K2:O2"/>
    <mergeCell ref="A6:O6"/>
    <mergeCell ref="A7:O7"/>
    <mergeCell ref="A10:A14"/>
  </mergeCells>
  <printOptions horizontalCentered="1"/>
  <pageMargins left="0.3937007874015748" right="0.3937007874015748" top="0.984251968503937" bottom="0.3937007874015748" header="0" footer="0"/>
  <pageSetup fitToWidth="8" horizontalDpi="600" verticalDpi="600" orientation="landscape" paperSize="9" scale="48" r:id="rId1"/>
  <colBreaks count="1" manualBreakCount="1">
    <brk id="4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Корчагин Иван</dc:creator>
  <cp:keywords/>
  <dc:description/>
  <cp:lastModifiedBy>Корчагин Иван</cp:lastModifiedBy>
  <cp:lastPrinted>2014-08-01T04:27:32Z</cp:lastPrinted>
  <dcterms:created xsi:type="dcterms:W3CDTF">2014-07-01T09:04:34Z</dcterms:created>
  <dcterms:modified xsi:type="dcterms:W3CDTF">2014-08-01T04:33:25Z</dcterms:modified>
  <cp:category/>
  <cp:version/>
  <cp:contentType/>
  <cp:contentStatus/>
</cp:coreProperties>
</file>